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Blank_Oral" sheetId="1" r:id="rId1"/>
    <sheet name="Example_Oral" sheetId="2" r:id="rId2"/>
    <sheet name="Blank_inhalation" sheetId="3" r:id="rId3"/>
    <sheet name="Example_inhalation" sheetId="4" r:id="rId4"/>
  </sheets>
  <definedNames>
    <definedName name="Excel_BuiltIn_Print_Area_9">"$#REF!.$A$2:$D$30"</definedName>
    <definedName name="Excel_BuiltIn_Print_Area_5">"$#REF!.$A$2:$D$30"</definedName>
    <definedName name="Excel_BuiltIn_Print_Area_6">#REF!</definedName>
    <definedName name="Excel_BuiltIn_Print_Area_3">"$#REF!.$A$3:$D$20"</definedName>
    <definedName name="Excel_BuiltIn_Print_Area_12">"$#REF!.$A$3:$D$20"</definedName>
    <definedName name="Excel_BuiltIn_Print_Area_2">#REF!</definedName>
    <definedName name="Excel_BuiltIn_Print_Area_1">#REF!</definedName>
    <definedName name="Excel_BuiltIn_Print_Area_7">"$#REF!.$A$3:$D$20"</definedName>
    <definedName name="Excel_BuiltIn_Print_Area_8">"$#REF!.$A$2:$D$30"</definedName>
    <definedName name="Excel_BuiltIn_Print_Area_13">#REF!</definedName>
    <definedName name="Excel_BuiltIn_Print_Area_10">"$#REF!.$A$1:$D$29"</definedName>
    <definedName name="Excel_BuiltIn_Print_Area_4">"$#REF!.$A$3:$D$20"</definedName>
    <definedName name="Excel_BuiltIn_Print_Area_11">"$#REF!.$A$1:$D$29"</definedName>
  </definedNames>
  <calcPr fullCalcOnLoad="1"/>
</workbook>
</file>

<file path=xl/sharedStrings.xml><?xml version="1.0" encoding="utf-8"?>
<sst xmlns="http://schemas.openxmlformats.org/spreadsheetml/2006/main" count="346" uniqueCount="88">
  <si>
    <t>Enter data into shaded cells</t>
  </si>
  <si>
    <t>The modifying factors are as follows:</t>
  </si>
  <si>
    <t xml:space="preserve">Calculate PDE for: </t>
  </si>
  <si>
    <t>F1 = A factor to account for extrapolation between species.</t>
  </si>
  <si>
    <t>(According to ICH Q3C guideline)</t>
  </si>
  <si>
    <t>F1 = 5 for extrapolation from rats to humans.</t>
  </si>
  <si>
    <t>Basis:</t>
  </si>
  <si>
    <t>F1 = 12 for extrapolation from mice to humans.</t>
  </si>
  <si>
    <t xml:space="preserve">Endpoint:  </t>
  </si>
  <si>
    <t>F1 = 2 for extrapolation from dogs to humans.</t>
  </si>
  <si>
    <t xml:space="preserve">Species:  </t>
  </si>
  <si>
    <t>F1 = 2.5 for extrapolation from rabbits to humans.</t>
  </si>
  <si>
    <t xml:space="preserve"> mg/kg</t>
  </si>
  <si>
    <t>F1 = 3 for extrapolation from monkeys to humans.</t>
  </si>
  <si>
    <t xml:space="preserve">Dosing Regimen:  </t>
  </si>
  <si>
    <t xml:space="preserve"> days/week</t>
  </si>
  <si>
    <t>F1 = 10 for extrapolation from other animals to humans.</t>
  </si>
  <si>
    <t xml:space="preserve"> mg/kg (adjusted for intermittent dosing)</t>
  </si>
  <si>
    <t>F2 = A factor of 10 to account for variability between individuals.</t>
  </si>
  <si>
    <t>F3 = A variable factor to account for toxicity studies of short-term exposure.</t>
  </si>
  <si>
    <t>kg default human body weight</t>
  </si>
  <si>
    <t xml:space="preserve">F3 = 1 for studies that last at least one half-lifetime </t>
  </si>
  <si>
    <t>F1 (Factor for extrapolation between species)</t>
  </si>
  <si>
    <t>(1 year for rodents or rabbits; 7 years for cats, dogs and monkeys).</t>
  </si>
  <si>
    <t>F2 (Factor for human individual variability)</t>
  </si>
  <si>
    <t>F3 = 1 for reproductive studies in which all organogenesis is covered.</t>
  </si>
  <si>
    <t>enter</t>
  </si>
  <si>
    <t>F3 (Factor for study duration; enter based on criteria at right)</t>
  </si>
  <si>
    <t>F3 = 2 for a 6-month study in rodents, or a 3.5-year study in nonrodents.</t>
  </si>
  <si>
    <t>F4 (Factor for serious toxicity; enter based on criteria at right)</t>
  </si>
  <si>
    <t>F3 = 5 for a 3-month study in rodents, or a 2-year study in nonrodents.</t>
  </si>
  <si>
    <t>F3 = 10 for studies of a shorter duration.</t>
  </si>
  <si>
    <t>PDE =</t>
  </si>
  <si>
    <t>mg/day</t>
  </si>
  <si>
    <t xml:space="preserve">The higher factor is used for study durations between the time points </t>
  </si>
  <si>
    <t xml:space="preserve"> = Overall Safety Factor (F1 x F2 x F3 x F4 x F5)</t>
  </si>
  <si>
    <t>(eg, a factor of 2 for a 9-month rodent study).</t>
  </si>
  <si>
    <t>See below for ICH default animal weights etc:</t>
  </si>
  <si>
    <t>F4 = A factor up to 10 applied for severe toxicity (e.g., nongenotoxic carcinogenicity,</t>
  </si>
  <si>
    <t>Default Body Weights (kg)</t>
  </si>
  <si>
    <t>neurotoxicity, teratogenicity).  Otherwise F4=1. For reproductive toxicity use :</t>
  </si>
  <si>
    <t>Dog</t>
  </si>
  <si>
    <t>F4 = 1 for fetal toxicity associated with maternal toxicity.</t>
  </si>
  <si>
    <t>Guinea Pig</t>
  </si>
  <si>
    <t>F4 = 5 for fetal toxicity without maternal toxicity.</t>
  </si>
  <si>
    <t>Human</t>
  </si>
  <si>
    <t>F4 = 5 for a teratogenic effect with maternal toxicity.</t>
  </si>
  <si>
    <t>Monkey</t>
  </si>
  <si>
    <t>F4 = 10 for a teratogenic effect without maternal toxicity.</t>
  </si>
  <si>
    <t>Mouse</t>
  </si>
  <si>
    <t>F5 = A variable factor that may be applied if the NOAEL was not established.</t>
  </si>
  <si>
    <t>Other</t>
  </si>
  <si>
    <t>F5 = 1 if the NOAEL was established</t>
  </si>
  <si>
    <t>Pregnant Mouse</t>
  </si>
  <si>
    <t>F5 = 3 for extrapolation from a LOAEL</t>
  </si>
  <si>
    <t>Pregnant Rat</t>
  </si>
  <si>
    <t>F5 = 10 for extrapolation from a LOAEL with severe toxicity</t>
  </si>
  <si>
    <t>Rabbit</t>
  </si>
  <si>
    <t>Rat</t>
  </si>
  <si>
    <t>Mouse water consumption = 5 mL/day</t>
  </si>
  <si>
    <t>Rat water consumption = 30 mL/day</t>
  </si>
  <si>
    <t>Rat food consumption = 30 g/day</t>
  </si>
  <si>
    <t>NOAEL</t>
  </si>
  <si>
    <t>LOAEL</t>
  </si>
  <si>
    <t>1,4-Dioxane</t>
  </si>
  <si>
    <t>~900 mg/kg (0.5% in drinking water) LOAEL for hepatic tumors in 90-wk mouse study</t>
  </si>
  <si>
    <t>F4 (Factor for serious toxicity)</t>
  </si>
  <si>
    <t xml:space="preserve">Inhalation Units:  </t>
  </si>
  <si>
    <t xml:space="preserve">Molecular Weight:  </t>
  </si>
  <si>
    <t xml:space="preserve"> Daltons (Only needed if inhaled concentration is in ppm)</t>
  </si>
  <si>
    <t xml:space="preserve">Body Mass:  </t>
  </si>
  <si>
    <t xml:space="preserve"> kg (Enter only if species = “Other”)</t>
  </si>
  <si>
    <t xml:space="preserve">Daily exposure:  </t>
  </si>
  <si>
    <t xml:space="preserve"> hours/day</t>
  </si>
  <si>
    <t xml:space="preserve">Weekly exposure:  </t>
  </si>
  <si>
    <t xml:space="preserve"> mg/m^3</t>
  </si>
  <si>
    <t xml:space="preserve"> mg/L</t>
  </si>
  <si>
    <t xml:space="preserve">Respiratory Volume:  </t>
  </si>
  <si>
    <t>mg/kg/day (adjusted for intermittent exposure)</t>
  </si>
  <si>
    <t>Enter</t>
  </si>
  <si>
    <t>See below for ICH default animal weights respiratory volumes etc:</t>
  </si>
  <si>
    <t>Default Respiratory Volumes (L/day)</t>
  </si>
  <si>
    <t xml:space="preserve">For species not listed in ICH guidance, Respiratory vol in L/day = 705.48 x (Body Mass)^0.847 </t>
  </si>
  <si>
    <t>(Allometric equation derived from ICH default values for body mass and respiratory volume)</t>
  </si>
  <si>
    <t>ppm</t>
  </si>
  <si>
    <t>mg/m^3</t>
  </si>
  <si>
    <t>Tetrahydrofuran (THF)</t>
  </si>
  <si>
    <t>200 ppm NOAEL in rats for 105 weeks at 6 hours/day, 5 days/week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</si>
</sst>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GENERAL"/>
    <numFmt numFmtId="168" formatCode="0.0000"/>
    <numFmt numFmtId="169" formatCode="0%"/>
    <numFmt numFmtId="170" formatCode="0.00"/>
  </numFmts>
  <fonts count="8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2" borderId="2" xfId="0" applyFon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0" fillId="0" borderId="3" xfId="0" applyBorder="1" applyAlignment="1">
      <alignment/>
    </xf>
    <xf numFmtId="164" fontId="2" fillId="0" borderId="0" xfId="0" applyFont="1" applyAlignment="1">
      <alignment horizontal="left" indent="2"/>
    </xf>
    <xf numFmtId="164" fontId="3" fillId="0" borderId="0" xfId="0" applyFont="1" applyAlignment="1">
      <alignment/>
    </xf>
    <xf numFmtId="164" fontId="0" fillId="2" borderId="2" xfId="0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 vertical="center"/>
    </xf>
    <xf numFmtId="164" fontId="7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" borderId="2" xfId="0" applyFont="1" applyFill="1" applyBorder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 indent="2"/>
    </xf>
    <xf numFmtId="164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 indent="1"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 horizontal="left" indent="1"/>
    </xf>
    <xf numFmtId="164" fontId="0" fillId="0" borderId="5" xfId="0" applyFont="1" applyBorder="1" applyAlignment="1">
      <alignment horizontal="right"/>
    </xf>
    <xf numFmtId="165" fontId="0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2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Alignment="1">
      <alignment horizontal="left"/>
    </xf>
    <xf numFmtId="164" fontId="2" fillId="0" borderId="0" xfId="0" applyFont="1" applyFill="1" applyBorder="1" applyAlignment="1">
      <alignment horizontal="left" indent="2"/>
    </xf>
    <xf numFmtId="164" fontId="2" fillId="0" borderId="1" xfId="0" applyFont="1" applyFill="1" applyBorder="1" applyAlignment="1">
      <alignment horizontal="left" indent="2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left"/>
    </xf>
    <xf numFmtId="164" fontId="0" fillId="0" borderId="5" xfId="0" applyBorder="1" applyAlignment="1">
      <alignment horizontal="left"/>
    </xf>
    <xf numFmtId="164" fontId="0" fillId="0" borderId="5" xfId="0" applyBorder="1" applyAlignment="1">
      <alignment/>
    </xf>
    <xf numFmtId="164" fontId="0" fillId="0" borderId="0" xfId="0" applyFill="1" applyBorder="1" applyAlignment="1">
      <alignment horizontal="right" indent="1"/>
    </xf>
    <xf numFmtId="164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4" fontId="0" fillId="0" borderId="3" xfId="0" applyBorder="1" applyAlignment="1">
      <alignment horizontal="right"/>
    </xf>
    <xf numFmtId="170" fontId="0" fillId="0" borderId="3" xfId="0" applyNumberFormat="1" applyFont="1" applyBorder="1" applyAlignment="1">
      <alignment/>
    </xf>
    <xf numFmtId="164" fontId="0" fillId="0" borderId="0" xfId="0" applyAlignment="1">
      <alignment horizontal="left"/>
    </xf>
    <xf numFmtId="164" fontId="0" fillId="0" borderId="4" xfId="0" applyBorder="1" applyAlignment="1">
      <alignment horizontal="left"/>
    </xf>
    <xf numFmtId="164" fontId="0" fillId="0" borderId="6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2" borderId="7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8.28125" style="0" customWidth="1"/>
    <col min="2" max="2" width="11.00390625" style="0" customWidth="1"/>
    <col min="3" max="3" width="10.28125" style="0" customWidth="1"/>
    <col min="4" max="4" width="50.00390625" style="0" customWidth="1"/>
    <col min="5" max="5" width="3.7109375" style="0" customWidth="1"/>
    <col min="6" max="6" width="58.140625" style="0" customWidth="1"/>
  </cols>
  <sheetData>
    <row r="1" spans="1:6" ht="15.75">
      <c r="A1" t="s">
        <v>0</v>
      </c>
      <c r="F1" s="1" t="s">
        <v>1</v>
      </c>
    </row>
    <row r="2" spans="3:6" ht="15.75">
      <c r="C2" s="2" t="s">
        <v>2</v>
      </c>
      <c r="D2" s="3"/>
      <c r="F2" s="4" t="s">
        <v>3</v>
      </c>
    </row>
    <row r="3" spans="1:6" ht="15.75">
      <c r="A3" s="5"/>
      <c r="B3" s="5"/>
      <c r="C3" s="5"/>
      <c r="D3" s="5" t="s">
        <v>4</v>
      </c>
      <c r="F3" s="6" t="s">
        <v>5</v>
      </c>
    </row>
    <row r="4" spans="1:6" s="9" customFormat="1" ht="18" customHeight="1">
      <c r="A4" s="7" t="s">
        <v>6</v>
      </c>
      <c r="B4" s="8"/>
      <c r="C4" s="8"/>
      <c r="D4" s="8"/>
      <c r="F4" s="10" t="s">
        <v>7</v>
      </c>
    </row>
    <row r="5" spans="1:6" s="9" customFormat="1" ht="18" customHeight="1">
      <c r="A5" s="11"/>
      <c r="B5" s="12" t="s">
        <v>8</v>
      </c>
      <c r="C5" s="7">
        <v>1</v>
      </c>
      <c r="D5" s="7"/>
      <c r="F5" s="10" t="s">
        <v>9</v>
      </c>
    </row>
    <row r="6" spans="1:6" s="9" customFormat="1" ht="18" customHeight="1">
      <c r="A6" s="13"/>
      <c r="B6" s="12" t="s">
        <v>10</v>
      </c>
      <c r="C6" s="7">
        <v>3</v>
      </c>
      <c r="D6" s="7"/>
      <c r="F6" s="10" t="s">
        <v>11</v>
      </c>
    </row>
    <row r="7" spans="1:6" s="9" customFormat="1" ht="18" customHeight="1">
      <c r="A7" s="11"/>
      <c r="B7" s="14" t="str">
        <f>CONCATENATE($C$48,":  ")</f>
        <v>NOAEL:  </v>
      </c>
      <c r="C7" s="15">
        <v>0</v>
      </c>
      <c r="D7" s="16" t="s">
        <v>12</v>
      </c>
      <c r="F7" s="10" t="s">
        <v>13</v>
      </c>
    </row>
    <row r="8" spans="1:6" ht="18">
      <c r="A8" s="11"/>
      <c r="B8" s="14" t="s">
        <v>14</v>
      </c>
      <c r="C8" s="15">
        <v>7</v>
      </c>
      <c r="D8" s="16" t="s">
        <v>15</v>
      </c>
      <c r="E8" s="9"/>
      <c r="F8" s="17" t="s">
        <v>16</v>
      </c>
    </row>
    <row r="9" spans="1:6" ht="15.75">
      <c r="A9" s="5"/>
      <c r="B9" s="18" t="str">
        <f>B7</f>
        <v>NOAEL:  </v>
      </c>
      <c r="C9" s="19">
        <f>C7*(C8/7)</f>
        <v>0</v>
      </c>
      <c r="D9" s="20" t="s">
        <v>17</v>
      </c>
      <c r="F9" s="21" t="s">
        <v>18</v>
      </c>
    </row>
    <row r="10" spans="1:6" ht="15.75">
      <c r="A10" s="16"/>
      <c r="B10" s="22" t="str">
        <f>CONCATENATE("PDE = (",C5," x human wt)/(F1 x F2 x F3 x F4 x F5)")</f>
        <v>PDE = (1 x human wt)/(F1 x F2 x F3 x F4 x F5)</v>
      </c>
      <c r="C10" s="16"/>
      <c r="D10" s="22"/>
      <c r="F10" s="21" t="s">
        <v>19</v>
      </c>
    </row>
    <row r="11" spans="1:6" ht="15.75">
      <c r="A11" s="16"/>
      <c r="B11" s="16"/>
      <c r="C11" s="16">
        <v>50</v>
      </c>
      <c r="D11" s="23" t="s">
        <v>20</v>
      </c>
      <c r="F11" s="6" t="s">
        <v>21</v>
      </c>
    </row>
    <row r="12" spans="1:6" ht="15.75">
      <c r="A12" s="16"/>
      <c r="B12" s="16"/>
      <c r="C12" s="16">
        <f>VLOOKUP(C49,B21:E30,3)</f>
        <v>5</v>
      </c>
      <c r="D12" s="23" t="s">
        <v>22</v>
      </c>
      <c r="F12" s="6" t="s">
        <v>23</v>
      </c>
    </row>
    <row r="13" spans="1:6" ht="15.75">
      <c r="A13" s="16"/>
      <c r="B13" s="16"/>
      <c r="C13" s="16">
        <v>10</v>
      </c>
      <c r="D13" s="23" t="s">
        <v>24</v>
      </c>
      <c r="F13" s="6" t="s">
        <v>25</v>
      </c>
    </row>
    <row r="14" spans="1:6" ht="15.75">
      <c r="A14" s="16"/>
      <c r="B14" s="16"/>
      <c r="C14" s="15" t="s">
        <v>26</v>
      </c>
      <c r="D14" s="23" t="s">
        <v>27</v>
      </c>
      <c r="F14" s="6" t="s">
        <v>28</v>
      </c>
    </row>
    <row r="15" spans="1:6" ht="15.75">
      <c r="A15" s="16"/>
      <c r="B15" s="16"/>
      <c r="C15" s="15" t="s">
        <v>26</v>
      </c>
      <c r="D15" s="23" t="s">
        <v>29</v>
      </c>
      <c r="F15" s="6" t="s">
        <v>30</v>
      </c>
    </row>
    <row r="16" spans="1:6" ht="15.75">
      <c r="A16" s="16"/>
      <c r="B16" s="24"/>
      <c r="C16" s="16">
        <f>IF(C48="NOAEL",1,C35)</f>
        <v>1</v>
      </c>
      <c r="D16" s="25" t="str">
        <f>CONCATENATE("F5 (Factor for extrapolation from ",C48,")")</f>
        <v>F5 (Factor for extrapolation from NOAEL)</v>
      </c>
      <c r="F16" s="6" t="s">
        <v>31</v>
      </c>
    </row>
    <row r="17" spans="1:6" ht="15.75">
      <c r="A17" s="16"/>
      <c r="B17" s="26" t="s">
        <v>32</v>
      </c>
      <c r="C17" s="27" t="e">
        <f>(C7*C11)/(C12*C13*C14*C15*C16)</f>
        <v>#DIV/0!</v>
      </c>
      <c r="D17" s="28" t="s">
        <v>33</v>
      </c>
      <c r="F17" s="29" t="s">
        <v>34</v>
      </c>
    </row>
    <row r="18" spans="1:6" ht="15.75">
      <c r="A18" s="5"/>
      <c r="B18" s="5"/>
      <c r="C18" s="5">
        <f>C12*C13*C14*C15*C16</f>
        <v>0</v>
      </c>
      <c r="D18" s="5" t="s">
        <v>35</v>
      </c>
      <c r="F18" s="4" t="s">
        <v>36</v>
      </c>
    </row>
    <row r="19" spans="1:6" ht="15.75">
      <c r="A19" s="30" t="s">
        <v>37</v>
      </c>
      <c r="B19" s="30"/>
      <c r="C19" s="16"/>
      <c r="D19" s="16"/>
      <c r="F19" s="29" t="s">
        <v>38</v>
      </c>
    </row>
    <row r="20" spans="1:6" ht="15.75">
      <c r="A20" s="31" t="s">
        <v>39</v>
      </c>
      <c r="B20" s="31"/>
      <c r="C20" s="31"/>
      <c r="D20" s="31"/>
      <c r="E20" s="16"/>
      <c r="F20" s="29" t="s">
        <v>40</v>
      </c>
    </row>
    <row r="21" spans="1:6" ht="15.75">
      <c r="A21" s="16"/>
      <c r="B21" s="32" t="s">
        <v>41</v>
      </c>
      <c r="C21" s="33">
        <v>11.5</v>
      </c>
      <c r="D21" s="16">
        <v>2</v>
      </c>
      <c r="E21" s="16"/>
      <c r="F21" s="6" t="s">
        <v>42</v>
      </c>
    </row>
    <row r="22" spans="1:6" ht="15.75">
      <c r="A22" s="16"/>
      <c r="B22" s="14" t="s">
        <v>43</v>
      </c>
      <c r="C22" s="34">
        <v>0.5</v>
      </c>
      <c r="D22" s="16">
        <v>10</v>
      </c>
      <c r="E22" s="16"/>
      <c r="F22" s="6" t="s">
        <v>44</v>
      </c>
    </row>
    <row r="23" spans="1:6" ht="15.75">
      <c r="A23" s="16"/>
      <c r="B23" s="35" t="s">
        <v>45</v>
      </c>
      <c r="C23" s="33">
        <v>50</v>
      </c>
      <c r="D23" s="16">
        <v>1</v>
      </c>
      <c r="E23" s="16"/>
      <c r="F23" s="6" t="s">
        <v>46</v>
      </c>
    </row>
    <row r="24" spans="1:6" ht="15.75">
      <c r="A24" s="16"/>
      <c r="B24" s="14" t="s">
        <v>47</v>
      </c>
      <c r="C24" s="36">
        <v>2.5</v>
      </c>
      <c r="D24" s="16">
        <v>3</v>
      </c>
      <c r="E24" s="16"/>
      <c r="F24" s="17" t="s">
        <v>48</v>
      </c>
    </row>
    <row r="25" spans="1:6" ht="15.75">
      <c r="A25" s="16"/>
      <c r="B25" s="14" t="s">
        <v>49</v>
      </c>
      <c r="C25" s="34">
        <v>0.028</v>
      </c>
      <c r="D25" s="16">
        <v>12</v>
      </c>
      <c r="E25" s="16"/>
      <c r="F25" s="29" t="s">
        <v>50</v>
      </c>
    </row>
    <row r="26" spans="1:6" ht="15.75">
      <c r="A26" s="16"/>
      <c r="B26" s="14" t="s">
        <v>51</v>
      </c>
      <c r="C26" s="36"/>
      <c r="D26" s="16">
        <v>10</v>
      </c>
      <c r="E26" s="16"/>
      <c r="F26" s="37" t="s">
        <v>52</v>
      </c>
    </row>
    <row r="27" spans="1:6" ht="15.75">
      <c r="A27" s="16"/>
      <c r="B27" s="14" t="s">
        <v>53</v>
      </c>
      <c r="C27" s="34">
        <v>0.03</v>
      </c>
      <c r="D27" s="16">
        <v>12</v>
      </c>
      <c r="F27" s="37" t="s">
        <v>54</v>
      </c>
    </row>
    <row r="28" spans="1:6" ht="15.75">
      <c r="A28" s="16"/>
      <c r="B28" s="14" t="s">
        <v>55</v>
      </c>
      <c r="C28" s="34">
        <v>0.33</v>
      </c>
      <c r="D28" s="16">
        <v>5</v>
      </c>
      <c r="F28" s="38" t="s">
        <v>56</v>
      </c>
    </row>
    <row r="29" spans="1:4" ht="15.75">
      <c r="A29" s="39"/>
      <c r="B29" s="14" t="s">
        <v>57</v>
      </c>
      <c r="C29" s="40">
        <v>4</v>
      </c>
      <c r="D29" s="16">
        <v>2.5</v>
      </c>
    </row>
    <row r="30" spans="1:4" ht="15.75">
      <c r="A30" s="24"/>
      <c r="B30" s="26" t="s">
        <v>58</v>
      </c>
      <c r="C30" s="41">
        <v>0.425</v>
      </c>
      <c r="D30" s="42">
        <v>5</v>
      </c>
    </row>
    <row r="31" spans="1:4" ht="15.75">
      <c r="A31" t="s">
        <v>59</v>
      </c>
      <c r="B31" s="43"/>
      <c r="D31" s="39"/>
    </row>
    <row r="32" spans="1:4" ht="15.75">
      <c r="A32" t="s">
        <v>60</v>
      </c>
      <c r="D32" s="39"/>
    </row>
    <row r="33" spans="1:4" ht="15.75">
      <c r="A33" t="s">
        <v>61</v>
      </c>
      <c r="D33" s="39"/>
    </row>
    <row r="34" spans="1:4" ht="15.75">
      <c r="A34" s="24"/>
      <c r="B34" s="26"/>
      <c r="C34" s="41"/>
      <c r="D34" s="42"/>
    </row>
    <row r="35" ht="15.75">
      <c r="C35" s="43">
        <f>IF(C15&gt;1,10,3)</f>
        <v>10</v>
      </c>
    </row>
    <row r="36" spans="2:3" ht="15.75">
      <c r="B36">
        <v>1</v>
      </c>
      <c r="C36" t="s">
        <v>62</v>
      </c>
    </row>
    <row r="37" spans="2:3" ht="15.75">
      <c r="B37">
        <v>2</v>
      </c>
      <c r="C37" t="s">
        <v>63</v>
      </c>
    </row>
    <row r="38" spans="2:3" ht="15.75">
      <c r="B38">
        <v>1</v>
      </c>
      <c r="C38" t="s">
        <v>49</v>
      </c>
    </row>
    <row r="39" spans="2:3" ht="15.75">
      <c r="B39">
        <v>2</v>
      </c>
      <c r="C39" t="s">
        <v>53</v>
      </c>
    </row>
    <row r="40" spans="2:3" ht="15.75">
      <c r="B40">
        <v>3</v>
      </c>
      <c r="C40" t="s">
        <v>58</v>
      </c>
    </row>
    <row r="41" spans="2:3" ht="15.75">
      <c r="B41">
        <v>4</v>
      </c>
      <c r="C41" t="s">
        <v>55</v>
      </c>
    </row>
    <row r="42" spans="2:3" ht="15.75">
      <c r="B42">
        <v>5</v>
      </c>
      <c r="C42" t="s">
        <v>43</v>
      </c>
    </row>
    <row r="43" spans="2:3" ht="15.75">
      <c r="B43">
        <v>6</v>
      </c>
      <c r="C43" t="s">
        <v>57</v>
      </c>
    </row>
    <row r="44" spans="2:3" ht="15.75">
      <c r="B44">
        <v>7</v>
      </c>
      <c r="C44" t="s">
        <v>47</v>
      </c>
    </row>
    <row r="45" spans="2:3" ht="15.75">
      <c r="B45">
        <v>8</v>
      </c>
      <c r="C45" t="s">
        <v>41</v>
      </c>
    </row>
    <row r="46" spans="2:3" ht="15.75">
      <c r="B46">
        <v>9</v>
      </c>
      <c r="C46" t="s">
        <v>45</v>
      </c>
    </row>
    <row r="47" spans="2:3" ht="15.75">
      <c r="B47">
        <v>10</v>
      </c>
      <c r="C47" t="s">
        <v>51</v>
      </c>
    </row>
    <row r="48" spans="2:3" ht="15.75">
      <c r="B48" t="s">
        <v>8</v>
      </c>
      <c r="C48" t="str">
        <f>VLOOKUP(C5,B36:C37,2)</f>
        <v>NOAEL</v>
      </c>
    </row>
    <row r="49" spans="2:3" ht="15.75">
      <c r="B49" t="s">
        <v>10</v>
      </c>
      <c r="C49" t="str">
        <f>VLOOKUP(C6,B38:C47,2)</f>
        <v>Rat</v>
      </c>
    </row>
    <row r="50" ht="15.75">
      <c r="C50" s="44">
        <f>C6</f>
        <v>3</v>
      </c>
    </row>
  </sheetData>
  <sheetProtection/>
  <mergeCells count="1"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8.28125" style="0" customWidth="1"/>
    <col min="2" max="2" width="11.00390625" style="0" customWidth="1"/>
    <col min="3" max="3" width="10.28125" style="0" customWidth="1"/>
    <col min="4" max="4" width="50.00390625" style="0" customWidth="1"/>
    <col min="5" max="5" width="3.7109375" style="0" customWidth="1"/>
    <col min="6" max="6" width="58.140625" style="0" customWidth="1"/>
  </cols>
  <sheetData>
    <row r="1" spans="1:6" ht="15.75">
      <c r="A1" t="s">
        <v>0</v>
      </c>
      <c r="F1" s="1" t="s">
        <v>1</v>
      </c>
    </row>
    <row r="2" spans="3:6" ht="15.75">
      <c r="C2" s="2" t="s">
        <v>2</v>
      </c>
      <c r="D2" s="3" t="s">
        <v>64</v>
      </c>
      <c r="F2" s="4" t="s">
        <v>3</v>
      </c>
    </row>
    <row r="3" spans="1:6" ht="15.75">
      <c r="A3" s="5"/>
      <c r="B3" s="5"/>
      <c r="C3" s="5"/>
      <c r="D3" s="5" t="s">
        <v>4</v>
      </c>
      <c r="F3" s="6" t="s">
        <v>5</v>
      </c>
    </row>
    <row r="4" spans="1:6" s="9" customFormat="1" ht="18" customHeight="1">
      <c r="A4" s="7" t="s">
        <v>6</v>
      </c>
      <c r="B4" s="8" t="s">
        <v>65</v>
      </c>
      <c r="C4" s="8"/>
      <c r="D4" s="8"/>
      <c r="F4" s="10" t="s">
        <v>7</v>
      </c>
    </row>
    <row r="5" spans="1:6" s="9" customFormat="1" ht="18" customHeight="1">
      <c r="A5" s="11"/>
      <c r="B5" s="12" t="s">
        <v>8</v>
      </c>
      <c r="C5" s="7">
        <v>2</v>
      </c>
      <c r="D5" s="7"/>
      <c r="F5" s="10" t="s">
        <v>9</v>
      </c>
    </row>
    <row r="6" spans="1:6" s="9" customFormat="1" ht="18" customHeight="1">
      <c r="A6" s="13"/>
      <c r="B6" s="12" t="s">
        <v>10</v>
      </c>
      <c r="C6" s="7">
        <v>1</v>
      </c>
      <c r="D6" s="7"/>
      <c r="F6" s="10" t="s">
        <v>11</v>
      </c>
    </row>
    <row r="7" spans="1:6" s="9" customFormat="1" ht="18" customHeight="1">
      <c r="A7" s="11"/>
      <c r="B7" s="14" t="str">
        <f>CONCATENATE($C$48,":  ")</f>
        <v>LOAEL:  </v>
      </c>
      <c r="C7" s="15">
        <v>900</v>
      </c>
      <c r="D7" s="16" t="s">
        <v>12</v>
      </c>
      <c r="F7" s="10" t="s">
        <v>13</v>
      </c>
    </row>
    <row r="8" spans="1:6" ht="18">
      <c r="A8" s="11"/>
      <c r="B8" s="14" t="s">
        <v>14</v>
      </c>
      <c r="C8" s="15">
        <v>7</v>
      </c>
      <c r="D8" s="16" t="s">
        <v>15</v>
      </c>
      <c r="E8" s="9"/>
      <c r="F8" s="17" t="s">
        <v>16</v>
      </c>
    </row>
    <row r="9" spans="1:6" ht="15.75">
      <c r="A9" s="5"/>
      <c r="B9" s="18" t="str">
        <f>B7</f>
        <v>LOAEL:  </v>
      </c>
      <c r="C9" s="19">
        <f>C7*(C8/7)</f>
        <v>900</v>
      </c>
      <c r="D9" s="20" t="s">
        <v>17</v>
      </c>
      <c r="F9" s="21" t="s">
        <v>18</v>
      </c>
    </row>
    <row r="10" spans="1:6" ht="15.75">
      <c r="A10" s="16"/>
      <c r="B10" s="22" t="str">
        <f>CONCATENATE("PDE = (",C5," x human wt)/(F1 x F2 x F3 x F4 x F5)")</f>
        <v>PDE = (2 x human wt)/(F1 x F2 x F3 x F4 x F5)</v>
      </c>
      <c r="C10" s="16"/>
      <c r="D10" s="22"/>
      <c r="F10" s="21" t="s">
        <v>19</v>
      </c>
    </row>
    <row r="11" spans="1:6" ht="15.75">
      <c r="A11" s="16"/>
      <c r="B11" s="16"/>
      <c r="C11" s="16">
        <v>50</v>
      </c>
      <c r="D11" s="23" t="s">
        <v>20</v>
      </c>
      <c r="F11" s="6" t="s">
        <v>21</v>
      </c>
    </row>
    <row r="12" spans="1:6" ht="15.75">
      <c r="A12" s="16"/>
      <c r="B12" s="16"/>
      <c r="C12" s="16">
        <f>VLOOKUP(C49,B21:E30,3)</f>
        <v>12</v>
      </c>
      <c r="D12" s="23" t="s">
        <v>22</v>
      </c>
      <c r="F12" s="6" t="s">
        <v>23</v>
      </c>
    </row>
    <row r="13" spans="1:6" ht="15.75">
      <c r="A13" s="16"/>
      <c r="B13" s="16"/>
      <c r="C13" s="16">
        <v>10</v>
      </c>
      <c r="D13" s="23" t="s">
        <v>24</v>
      </c>
      <c r="F13" s="6" t="s">
        <v>25</v>
      </c>
    </row>
    <row r="14" spans="1:6" ht="15.75">
      <c r="A14" s="16"/>
      <c r="B14" s="16"/>
      <c r="C14" s="15">
        <v>1</v>
      </c>
      <c r="D14" s="23" t="s">
        <v>27</v>
      </c>
      <c r="F14" s="6" t="s">
        <v>28</v>
      </c>
    </row>
    <row r="15" spans="1:6" ht="15.75">
      <c r="A15" s="16"/>
      <c r="B15" s="16"/>
      <c r="C15" s="15">
        <v>10</v>
      </c>
      <c r="D15" s="23" t="s">
        <v>66</v>
      </c>
      <c r="F15" s="6" t="s">
        <v>30</v>
      </c>
    </row>
    <row r="16" spans="1:6" ht="15.75">
      <c r="A16" s="16"/>
      <c r="B16" s="24"/>
      <c r="C16" s="16">
        <f>IF(C48="NOAEL",1,C35)</f>
        <v>10</v>
      </c>
      <c r="D16" s="25" t="str">
        <f>CONCATENATE("F5 (Factor for extrapolation from ",C48,")")</f>
        <v>F5 (Factor for extrapolation from LOAEL)</v>
      </c>
      <c r="F16" s="6" t="s">
        <v>31</v>
      </c>
    </row>
    <row r="17" spans="1:6" ht="15.75">
      <c r="A17" s="16"/>
      <c r="B17" s="26" t="s">
        <v>32</v>
      </c>
      <c r="C17" s="27">
        <f>(C7*C11)/(C12*C13*C14*C15*C16)</f>
        <v>3.75</v>
      </c>
      <c r="D17" s="28" t="s">
        <v>33</v>
      </c>
      <c r="F17" s="29" t="s">
        <v>34</v>
      </c>
    </row>
    <row r="18" spans="1:6" ht="15.75">
      <c r="A18" s="5"/>
      <c r="B18" s="5"/>
      <c r="C18" s="5">
        <f>C12*C13*C14*C15*C16</f>
        <v>12000</v>
      </c>
      <c r="D18" s="5" t="s">
        <v>35</v>
      </c>
      <c r="F18" s="4" t="s">
        <v>36</v>
      </c>
    </row>
    <row r="19" spans="1:6" ht="15.75">
      <c r="A19" s="30" t="s">
        <v>37</v>
      </c>
      <c r="B19" s="30"/>
      <c r="C19" s="16"/>
      <c r="D19" s="16"/>
      <c r="F19" s="29" t="s">
        <v>38</v>
      </c>
    </row>
    <row r="20" spans="1:6" ht="15.75">
      <c r="A20" s="31" t="s">
        <v>39</v>
      </c>
      <c r="B20" s="31"/>
      <c r="C20" s="31"/>
      <c r="D20" s="31"/>
      <c r="E20" s="16"/>
      <c r="F20" s="29" t="s">
        <v>40</v>
      </c>
    </row>
    <row r="21" spans="1:6" ht="15.75">
      <c r="A21" s="16"/>
      <c r="B21" s="32" t="s">
        <v>41</v>
      </c>
      <c r="C21" s="33">
        <v>11.5</v>
      </c>
      <c r="D21" s="16">
        <v>2</v>
      </c>
      <c r="E21" s="16"/>
      <c r="F21" s="6" t="s">
        <v>42</v>
      </c>
    </row>
    <row r="22" spans="1:6" ht="15.75">
      <c r="A22" s="16"/>
      <c r="B22" s="14" t="s">
        <v>43</v>
      </c>
      <c r="C22" s="34">
        <v>0.5</v>
      </c>
      <c r="D22" s="16">
        <v>10</v>
      </c>
      <c r="E22" s="16"/>
      <c r="F22" s="6" t="s">
        <v>44</v>
      </c>
    </row>
    <row r="23" spans="1:6" ht="15.75">
      <c r="A23" s="16"/>
      <c r="B23" s="35" t="s">
        <v>45</v>
      </c>
      <c r="C23" s="33">
        <v>50</v>
      </c>
      <c r="D23" s="16">
        <v>1</v>
      </c>
      <c r="E23" s="16"/>
      <c r="F23" s="6" t="s">
        <v>46</v>
      </c>
    </row>
    <row r="24" spans="1:6" ht="15.75">
      <c r="A24" s="16"/>
      <c r="B24" s="14" t="s">
        <v>47</v>
      </c>
      <c r="C24" s="36">
        <v>2.5</v>
      </c>
      <c r="D24" s="16">
        <v>3</v>
      </c>
      <c r="E24" s="16"/>
      <c r="F24" s="17" t="s">
        <v>48</v>
      </c>
    </row>
    <row r="25" spans="1:6" ht="15.75">
      <c r="A25" s="16"/>
      <c r="B25" s="14" t="s">
        <v>49</v>
      </c>
      <c r="C25" s="34">
        <v>0.028</v>
      </c>
      <c r="D25" s="16">
        <v>12</v>
      </c>
      <c r="E25" s="16"/>
      <c r="F25" s="29" t="s">
        <v>50</v>
      </c>
    </row>
    <row r="26" spans="1:6" ht="15.75">
      <c r="A26" s="16"/>
      <c r="B26" s="14" t="s">
        <v>51</v>
      </c>
      <c r="C26" s="36"/>
      <c r="D26" s="16">
        <v>10</v>
      </c>
      <c r="E26" s="16"/>
      <c r="F26" s="37" t="s">
        <v>52</v>
      </c>
    </row>
    <row r="27" spans="1:6" ht="15.75">
      <c r="A27" s="16"/>
      <c r="B27" s="14" t="s">
        <v>53</v>
      </c>
      <c r="C27" s="34">
        <v>0.03</v>
      </c>
      <c r="D27" s="16">
        <v>12</v>
      </c>
      <c r="F27" s="37" t="s">
        <v>54</v>
      </c>
    </row>
    <row r="28" spans="1:6" ht="15.75">
      <c r="A28" s="16"/>
      <c r="B28" s="14" t="s">
        <v>55</v>
      </c>
      <c r="C28" s="34">
        <v>0.33</v>
      </c>
      <c r="D28" s="16">
        <v>5</v>
      </c>
      <c r="F28" s="38" t="s">
        <v>56</v>
      </c>
    </row>
    <row r="29" spans="1:4" ht="15.75">
      <c r="A29" s="39"/>
      <c r="B29" s="14" t="s">
        <v>57</v>
      </c>
      <c r="C29" s="40">
        <v>4</v>
      </c>
      <c r="D29" s="16">
        <v>2.5</v>
      </c>
    </row>
    <row r="30" spans="1:4" ht="15.75">
      <c r="A30" s="24"/>
      <c r="B30" s="26" t="s">
        <v>58</v>
      </c>
      <c r="C30" s="41">
        <v>0.425</v>
      </c>
      <c r="D30" s="42">
        <v>5</v>
      </c>
    </row>
    <row r="31" spans="1:4" ht="15.75">
      <c r="A31" t="s">
        <v>59</v>
      </c>
      <c r="B31" s="43"/>
      <c r="D31" s="39"/>
    </row>
    <row r="32" spans="1:4" ht="15.75">
      <c r="A32" t="s">
        <v>60</v>
      </c>
      <c r="D32" s="39"/>
    </row>
    <row r="33" spans="1:4" ht="15.75">
      <c r="A33" t="s">
        <v>61</v>
      </c>
      <c r="D33" s="39"/>
    </row>
    <row r="34" spans="1:4" ht="15.75">
      <c r="A34" s="24"/>
      <c r="B34" s="26"/>
      <c r="C34" s="41"/>
      <c r="D34" s="42"/>
    </row>
    <row r="35" ht="15.75">
      <c r="C35" s="43">
        <f>IF(C15&gt;1,10,3)</f>
        <v>10</v>
      </c>
    </row>
    <row r="36" spans="2:3" ht="15.75">
      <c r="B36">
        <v>1</v>
      </c>
      <c r="C36" t="s">
        <v>62</v>
      </c>
    </row>
    <row r="37" spans="2:3" ht="15.75">
      <c r="B37">
        <v>2</v>
      </c>
      <c r="C37" t="s">
        <v>63</v>
      </c>
    </row>
    <row r="38" spans="2:3" ht="15.75">
      <c r="B38">
        <v>1</v>
      </c>
      <c r="C38" t="s">
        <v>49</v>
      </c>
    </row>
    <row r="39" spans="2:3" ht="15.75">
      <c r="B39">
        <v>2</v>
      </c>
      <c r="C39" t="s">
        <v>53</v>
      </c>
    </row>
    <row r="40" spans="2:3" ht="15.75">
      <c r="B40">
        <v>3</v>
      </c>
      <c r="C40" t="s">
        <v>58</v>
      </c>
    </row>
    <row r="41" spans="2:3" ht="15.75">
      <c r="B41">
        <v>4</v>
      </c>
      <c r="C41" t="s">
        <v>55</v>
      </c>
    </row>
    <row r="42" spans="2:3" ht="15.75">
      <c r="B42">
        <v>5</v>
      </c>
      <c r="C42" t="s">
        <v>43</v>
      </c>
    </row>
    <row r="43" spans="2:3" ht="15.75">
      <c r="B43">
        <v>6</v>
      </c>
      <c r="C43" t="s">
        <v>57</v>
      </c>
    </row>
    <row r="44" spans="2:3" ht="15.75">
      <c r="B44">
        <v>7</v>
      </c>
      <c r="C44" t="s">
        <v>47</v>
      </c>
    </row>
    <row r="45" spans="2:3" ht="15.75">
      <c r="B45">
        <v>8</v>
      </c>
      <c r="C45" t="s">
        <v>41</v>
      </c>
    </row>
    <row r="46" spans="2:3" ht="15.75">
      <c r="B46">
        <v>9</v>
      </c>
      <c r="C46" t="s">
        <v>45</v>
      </c>
    </row>
    <row r="47" spans="2:3" ht="15.75">
      <c r="B47">
        <v>10</v>
      </c>
      <c r="C47" t="s">
        <v>51</v>
      </c>
    </row>
    <row r="48" spans="2:3" ht="15.75">
      <c r="B48" t="s">
        <v>8</v>
      </c>
      <c r="C48" t="str">
        <f>VLOOKUP(C5,B36:C37,2)</f>
        <v>LOAEL</v>
      </c>
    </row>
    <row r="49" spans="2:3" ht="15.75">
      <c r="B49" t="s">
        <v>10</v>
      </c>
      <c r="C49" t="str">
        <f>VLOOKUP(C6,B38:C47,2)</f>
        <v>Mouse</v>
      </c>
    </row>
    <row r="50" ht="15.75">
      <c r="C50" s="44">
        <f>C6</f>
        <v>1</v>
      </c>
    </row>
  </sheetData>
  <sheetProtection/>
  <mergeCells count="1"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8.28125" style="0" customWidth="1"/>
    <col min="2" max="2" width="13.00390625" style="0" customWidth="1"/>
    <col min="3" max="3" width="10.28125" style="0" customWidth="1"/>
    <col min="4" max="4" width="50.00390625" style="0" customWidth="1"/>
    <col min="5" max="5" width="3.7109375" style="0" customWidth="1"/>
    <col min="6" max="6" width="58.140625" style="0" customWidth="1"/>
  </cols>
  <sheetData>
    <row r="1" spans="1:6" ht="15.75">
      <c r="A1" t="s">
        <v>0</v>
      </c>
      <c r="F1" s="1" t="s">
        <v>1</v>
      </c>
    </row>
    <row r="2" spans="3:6" ht="15.75">
      <c r="C2" s="2" t="s">
        <v>2</v>
      </c>
      <c r="D2" s="3"/>
      <c r="F2" s="4" t="s">
        <v>3</v>
      </c>
    </row>
    <row r="3" spans="1:6" ht="15.75">
      <c r="A3" s="5"/>
      <c r="B3" s="5"/>
      <c r="C3" s="5"/>
      <c r="D3" s="5" t="s">
        <v>4</v>
      </c>
      <c r="F3" s="6" t="s">
        <v>5</v>
      </c>
    </row>
    <row r="4" spans="1:6" s="9" customFormat="1" ht="18" customHeight="1">
      <c r="A4" s="7" t="s">
        <v>6</v>
      </c>
      <c r="B4" s="8"/>
      <c r="C4" s="8"/>
      <c r="D4" s="8"/>
      <c r="F4" s="10" t="s">
        <v>7</v>
      </c>
    </row>
    <row r="5" spans="1:12" s="9" customFormat="1" ht="18" customHeight="1">
      <c r="A5" s="11"/>
      <c r="B5" s="12" t="s">
        <v>8</v>
      </c>
      <c r="C5" s="7">
        <v>1</v>
      </c>
      <c r="D5" s="7"/>
      <c r="F5" s="10" t="s">
        <v>9</v>
      </c>
      <c r="K5" s="9">
        <f>C14</f>
        <v>0</v>
      </c>
      <c r="L5" s="9">
        <v>0.59</v>
      </c>
    </row>
    <row r="6" spans="1:12" s="9" customFormat="1" ht="18" customHeight="1">
      <c r="A6" s="13"/>
      <c r="B6" s="12" t="s">
        <v>10</v>
      </c>
      <c r="C6" s="7">
        <v>3</v>
      </c>
      <c r="D6" s="7"/>
      <c r="F6" s="10" t="s">
        <v>11</v>
      </c>
      <c r="K6" s="9">
        <f>6/24</f>
        <v>0.25</v>
      </c>
      <c r="L6" s="9">
        <f>6/24</f>
        <v>0.25</v>
      </c>
    </row>
    <row r="7" spans="1:12" s="9" customFormat="1" ht="18" customHeight="1">
      <c r="A7" s="13"/>
      <c r="B7" s="12" t="s">
        <v>67</v>
      </c>
      <c r="C7" s="7">
        <v>2</v>
      </c>
      <c r="D7" s="7"/>
      <c r="F7" s="10" t="s">
        <v>13</v>
      </c>
      <c r="K7" s="9">
        <f>5/7</f>
        <v>0.7142857142857143</v>
      </c>
      <c r="L7" s="9">
        <f>5/7</f>
        <v>0.7142857142857143</v>
      </c>
    </row>
    <row r="8" spans="1:13" ht="16.5">
      <c r="A8" s="13"/>
      <c r="B8" s="14" t="s">
        <v>68</v>
      </c>
      <c r="C8" s="15"/>
      <c r="D8" s="16" t="s">
        <v>69</v>
      </c>
      <c r="F8" s="17" t="s">
        <v>16</v>
      </c>
      <c r="K8" s="45">
        <f>K5*K6*K7</f>
        <v>0</v>
      </c>
      <c r="L8" s="45">
        <f>L5*L6*L7</f>
        <v>0.10535714285714286</v>
      </c>
      <c r="M8" s="45">
        <v>0.105</v>
      </c>
    </row>
    <row r="9" spans="1:13" ht="16.5">
      <c r="A9" s="13"/>
      <c r="B9" s="14" t="s">
        <v>70</v>
      </c>
      <c r="C9" s="15"/>
      <c r="D9" s="16" t="s">
        <v>71</v>
      </c>
      <c r="F9" s="21" t="s">
        <v>18</v>
      </c>
      <c r="K9">
        <v>290</v>
      </c>
      <c r="L9">
        <v>290</v>
      </c>
      <c r="M9">
        <v>290</v>
      </c>
    </row>
    <row r="10" spans="1:13" ht="16.5">
      <c r="A10" s="11"/>
      <c r="B10" s="14" t="str">
        <f>CONCATENATE($C$66," Concentration:  ")</f>
        <v>NOAEL Concentration:  </v>
      </c>
      <c r="C10" s="15"/>
      <c r="D10" s="16" t="str">
        <f>CONCATENATE(" ",C68)</f>
        <v> mg/m^3</v>
      </c>
      <c r="F10" s="21" t="s">
        <v>19</v>
      </c>
      <c r="K10">
        <v>0.425</v>
      </c>
      <c r="L10">
        <v>0.425</v>
      </c>
      <c r="M10">
        <v>0.425</v>
      </c>
    </row>
    <row r="11" spans="1:13" ht="16.5">
      <c r="A11" s="11"/>
      <c r="B11" s="14" t="s">
        <v>72</v>
      </c>
      <c r="C11" s="15"/>
      <c r="D11" s="16" t="s">
        <v>73</v>
      </c>
      <c r="F11" s="6" t="s">
        <v>21</v>
      </c>
      <c r="K11" s="44">
        <f>K8*K9/K10</f>
        <v>0</v>
      </c>
      <c r="L11" s="44">
        <f>L8*L9/L10</f>
        <v>71.89075630252101</v>
      </c>
      <c r="M11" s="44">
        <f>M8*M9/M10</f>
        <v>71.6470588235294</v>
      </c>
    </row>
    <row r="12" spans="1:6" ht="16.5">
      <c r="A12" s="11"/>
      <c r="B12" s="14" t="s">
        <v>74</v>
      </c>
      <c r="C12" s="15"/>
      <c r="D12" s="16" t="s">
        <v>15</v>
      </c>
      <c r="F12" s="6" t="s">
        <v>23</v>
      </c>
    </row>
    <row r="13" spans="1:6" ht="16.5">
      <c r="A13" s="11"/>
      <c r="B13" s="14" t="str">
        <f>B10</f>
        <v>NOAEL Concentration:  </v>
      </c>
      <c r="C13" s="16">
        <f>IF(C68="ppm",C10*C8/24.45,C10)</f>
        <v>0</v>
      </c>
      <c r="D13" s="16" t="s">
        <v>75</v>
      </c>
      <c r="F13" s="6" t="s">
        <v>25</v>
      </c>
    </row>
    <row r="14" spans="1:6" ht="16.5">
      <c r="A14" s="11"/>
      <c r="B14" s="14" t="str">
        <f>B10</f>
        <v>NOAEL Concentration:  </v>
      </c>
      <c r="C14" s="46">
        <f>C13/1000</f>
        <v>0</v>
      </c>
      <c r="D14" s="16" t="s">
        <v>76</v>
      </c>
      <c r="F14" s="6" t="s">
        <v>28</v>
      </c>
    </row>
    <row r="15" spans="1:6" ht="16.5">
      <c r="A15" s="11"/>
      <c r="B15" s="14" t="s">
        <v>77</v>
      </c>
      <c r="C15" s="16">
        <f>IF(C67="Other",705.48*C16^0.847,VLOOKUP(C67,C40:D48,2))</f>
        <v>290</v>
      </c>
      <c r="D15" s="16" t="str">
        <f>CONCATENATE(" L/24 hr ICH default respiratory volume for ",$C$67)</f>
        <v> L/24 hr ICH default respiratory volume for Rat</v>
      </c>
      <c r="F15" s="6" t="s">
        <v>30</v>
      </c>
    </row>
    <row r="16" spans="2:6" ht="15.75">
      <c r="B16" s="14" t="s">
        <v>70</v>
      </c>
      <c r="C16" s="47">
        <f>IF(C67="Other",C9,VLOOKUP(C67,C29:D38,2))</f>
        <v>0.425</v>
      </c>
      <c r="D16" s="16" t="str">
        <f>CONCATENATE(" kg body mass for ",$C$67," (ICH default or entered value)")</f>
        <v> kg body mass for Rat (ICH default or entered value)</v>
      </c>
      <c r="F16" s="6" t="s">
        <v>31</v>
      </c>
    </row>
    <row r="17" spans="1:6" ht="15.75">
      <c r="A17" s="5"/>
      <c r="B17" s="48" t="str">
        <f>CONCATENATE($C$66," Dose:  ")</f>
        <v>NOAEL Dose:  </v>
      </c>
      <c r="C17" s="49">
        <f>(C14*C15/C16)*(C11/24)*(C12/7)</f>
        <v>0</v>
      </c>
      <c r="D17" s="20" t="s">
        <v>78</v>
      </c>
      <c r="F17" s="29" t="s">
        <v>34</v>
      </c>
    </row>
    <row r="18" spans="1:6" ht="15.75">
      <c r="A18" s="16"/>
      <c r="B18" s="22" t="str">
        <f>CONCATENATE("PDE = (",C5," x human wt)/(F1 x F2 x F3 x F4 x F5)")</f>
        <v>PDE = (1 x human wt)/(F1 x F2 x F3 x F4 x F5)</v>
      </c>
      <c r="C18" s="16"/>
      <c r="D18" s="22"/>
      <c r="E18" s="16"/>
      <c r="F18" s="4" t="s">
        <v>36</v>
      </c>
    </row>
    <row r="19" spans="1:6" ht="15.75">
      <c r="A19" s="16"/>
      <c r="B19" s="16"/>
      <c r="C19" s="16">
        <v>50</v>
      </c>
      <c r="D19" s="23" t="s">
        <v>20</v>
      </c>
      <c r="E19" s="16"/>
      <c r="F19" s="29" t="s">
        <v>38</v>
      </c>
    </row>
    <row r="20" spans="1:6" ht="15.75">
      <c r="A20" s="16"/>
      <c r="B20" s="16"/>
      <c r="C20" s="16">
        <f>VLOOKUP(C67,C29:E39,3)</f>
        <v>5</v>
      </c>
      <c r="D20" s="23" t="s">
        <v>22</v>
      </c>
      <c r="E20" s="16"/>
      <c r="F20" s="29" t="s">
        <v>40</v>
      </c>
    </row>
    <row r="21" spans="1:6" ht="15.75">
      <c r="A21" s="16"/>
      <c r="B21" s="16"/>
      <c r="C21" s="16">
        <v>10</v>
      </c>
      <c r="D21" s="23" t="s">
        <v>24</v>
      </c>
      <c r="E21" s="16"/>
      <c r="F21" s="6" t="s">
        <v>42</v>
      </c>
    </row>
    <row r="22" spans="1:6" ht="15.75">
      <c r="A22" s="16"/>
      <c r="B22" s="16"/>
      <c r="C22" s="15" t="s">
        <v>79</v>
      </c>
      <c r="D22" s="23" t="s">
        <v>27</v>
      </c>
      <c r="E22" s="16"/>
      <c r="F22" s="6" t="s">
        <v>44</v>
      </c>
    </row>
    <row r="23" spans="1:6" ht="15.75">
      <c r="A23" s="16"/>
      <c r="B23" s="16"/>
      <c r="C23" s="15" t="s">
        <v>79</v>
      </c>
      <c r="D23" s="23" t="s">
        <v>66</v>
      </c>
      <c r="E23" s="16"/>
      <c r="F23" s="6" t="s">
        <v>46</v>
      </c>
    </row>
    <row r="24" spans="1:6" ht="15.75">
      <c r="A24" s="16"/>
      <c r="B24" s="24"/>
      <c r="C24" s="16">
        <f>IF(C66="NOAEL",1,C51)</f>
        <v>1</v>
      </c>
      <c r="D24" s="25" t="str">
        <f>CONCATENATE("F5 (Factor for extrapolation from ",C66,")")</f>
        <v>F5 (Factor for extrapolation from NOAEL)</v>
      </c>
      <c r="E24" s="16"/>
      <c r="F24" s="17" t="s">
        <v>48</v>
      </c>
    </row>
    <row r="25" spans="1:6" ht="15.75">
      <c r="A25" s="16"/>
      <c r="B25" s="26" t="s">
        <v>32</v>
      </c>
      <c r="C25" s="27" t="e">
        <f>(C17*C19)/(C20*C21*C22*C23*C24)</f>
        <v>#DIV/0!</v>
      </c>
      <c r="D25" s="28" t="s">
        <v>33</v>
      </c>
      <c r="E25" s="16"/>
      <c r="F25" s="29" t="s">
        <v>50</v>
      </c>
    </row>
    <row r="26" spans="1:6" ht="15.75">
      <c r="A26" s="5"/>
      <c r="B26" s="5"/>
      <c r="C26" s="5">
        <f>C20*C21*C22*C23*C24</f>
        <v>0</v>
      </c>
      <c r="D26" s="5" t="s">
        <v>35</v>
      </c>
      <c r="E26" s="16"/>
      <c r="F26" s="37" t="s">
        <v>52</v>
      </c>
    </row>
    <row r="27" spans="1:6" ht="15.75">
      <c r="A27" s="30" t="s">
        <v>80</v>
      </c>
      <c r="B27" s="30"/>
      <c r="C27" s="16"/>
      <c r="D27" s="16"/>
      <c r="E27" s="16"/>
      <c r="F27" s="37" t="s">
        <v>54</v>
      </c>
    </row>
    <row r="28" spans="1:6" ht="15.75">
      <c r="A28" s="31" t="s">
        <v>39</v>
      </c>
      <c r="B28" s="31"/>
      <c r="C28" s="31"/>
      <c r="D28" s="31"/>
      <c r="E28" s="16"/>
      <c r="F28" s="38" t="s">
        <v>56</v>
      </c>
    </row>
    <row r="29" spans="1:5" ht="15.75">
      <c r="A29" s="16"/>
      <c r="B29" s="16"/>
      <c r="C29" s="32" t="s">
        <v>41</v>
      </c>
      <c r="D29" s="33">
        <v>11.5</v>
      </c>
      <c r="E29" s="16">
        <v>2</v>
      </c>
    </row>
    <row r="30" spans="1:5" ht="15.75">
      <c r="A30" s="16"/>
      <c r="B30" s="16"/>
      <c r="C30" s="14" t="s">
        <v>43</v>
      </c>
      <c r="D30" s="34">
        <v>0.5</v>
      </c>
      <c r="E30" s="16">
        <v>10</v>
      </c>
    </row>
    <row r="31" spans="1:5" ht="15.75">
      <c r="A31" s="16"/>
      <c r="B31" s="16"/>
      <c r="C31" s="35" t="s">
        <v>45</v>
      </c>
      <c r="D31" s="33">
        <v>50</v>
      </c>
      <c r="E31" s="16">
        <v>1</v>
      </c>
    </row>
    <row r="32" spans="1:5" ht="15.75">
      <c r="A32" s="16"/>
      <c r="B32" s="16"/>
      <c r="C32" s="14" t="s">
        <v>47</v>
      </c>
      <c r="D32" s="36">
        <v>2.5</v>
      </c>
      <c r="E32" s="16">
        <v>3</v>
      </c>
    </row>
    <row r="33" spans="1:5" ht="15.75">
      <c r="A33" s="16"/>
      <c r="B33" s="16"/>
      <c r="C33" s="14" t="s">
        <v>49</v>
      </c>
      <c r="D33" s="34">
        <v>0.028</v>
      </c>
      <c r="E33" s="16">
        <v>12</v>
      </c>
    </row>
    <row r="34" spans="1:5" ht="15.75">
      <c r="A34" s="16"/>
      <c r="B34" s="16"/>
      <c r="C34" s="14" t="s">
        <v>51</v>
      </c>
      <c r="D34" s="36"/>
      <c r="E34" s="16">
        <v>10</v>
      </c>
    </row>
    <row r="35" spans="1:5" ht="15.75">
      <c r="A35" s="16"/>
      <c r="B35" s="16"/>
      <c r="C35" s="14" t="s">
        <v>53</v>
      </c>
      <c r="D35" s="34">
        <v>0.03</v>
      </c>
      <c r="E35" s="16">
        <v>12</v>
      </c>
    </row>
    <row r="36" spans="1:5" ht="15.75">
      <c r="A36" s="16"/>
      <c r="B36" s="16"/>
      <c r="C36" s="14" t="s">
        <v>55</v>
      </c>
      <c r="D36" s="34">
        <v>0.33</v>
      </c>
      <c r="E36" s="16">
        <v>5</v>
      </c>
    </row>
    <row r="37" spans="1:5" ht="15.75">
      <c r="A37" s="39"/>
      <c r="B37" s="39"/>
      <c r="C37" s="14" t="s">
        <v>57</v>
      </c>
      <c r="D37" s="40">
        <v>4</v>
      </c>
      <c r="E37" s="16">
        <v>2.5</v>
      </c>
    </row>
    <row r="38" spans="1:5" ht="15.75">
      <c r="A38" s="22"/>
      <c r="B38" s="22"/>
      <c r="C38" s="14" t="s">
        <v>58</v>
      </c>
      <c r="D38" s="50">
        <v>0.425</v>
      </c>
      <c r="E38">
        <v>5</v>
      </c>
    </row>
    <row r="39" spans="1:5" ht="15.75">
      <c r="A39" s="28" t="s">
        <v>81</v>
      </c>
      <c r="B39" s="28"/>
      <c r="C39" s="28"/>
      <c r="D39" s="51"/>
      <c r="E39" s="52"/>
    </row>
    <row r="40" spans="1:4" ht="15.75">
      <c r="A40" s="39"/>
      <c r="B40" s="39"/>
      <c r="C40" s="35" t="s">
        <v>41</v>
      </c>
      <c r="D40" s="50">
        <v>9000</v>
      </c>
    </row>
    <row r="41" spans="1:4" ht="15.75">
      <c r="A41" s="39"/>
      <c r="B41" s="39"/>
      <c r="C41" s="35" t="s">
        <v>43</v>
      </c>
      <c r="D41" s="50">
        <v>430</v>
      </c>
    </row>
    <row r="42" spans="1:4" ht="15.75">
      <c r="A42" s="39"/>
      <c r="B42" s="39"/>
      <c r="C42" s="35" t="s">
        <v>45</v>
      </c>
      <c r="D42" s="53">
        <v>28800</v>
      </c>
    </row>
    <row r="43" spans="1:4" ht="15.75">
      <c r="A43" s="39"/>
      <c r="B43" s="39"/>
      <c r="C43" s="35" t="s">
        <v>47</v>
      </c>
      <c r="D43" s="50">
        <v>1150</v>
      </c>
    </row>
    <row r="44" spans="1:4" ht="15.75">
      <c r="A44" s="39"/>
      <c r="B44" s="39"/>
      <c r="C44" s="35" t="s">
        <v>49</v>
      </c>
      <c r="D44" s="50">
        <v>43</v>
      </c>
    </row>
    <row r="45" spans="3:4" ht="15.75">
      <c r="C45" s="35" t="s">
        <v>53</v>
      </c>
      <c r="D45" s="50">
        <v>43</v>
      </c>
    </row>
    <row r="46" spans="3:4" ht="15.75">
      <c r="C46" s="14" t="s">
        <v>55</v>
      </c>
      <c r="D46" s="50">
        <v>290</v>
      </c>
    </row>
    <row r="47" spans="3:4" ht="15.75">
      <c r="C47" s="35" t="s">
        <v>57</v>
      </c>
      <c r="D47" s="50">
        <v>1440</v>
      </c>
    </row>
    <row r="48" spans="1:4" ht="15.75">
      <c r="A48" s="42"/>
      <c r="B48" s="42"/>
      <c r="C48" s="54" t="s">
        <v>58</v>
      </c>
      <c r="D48" s="41">
        <v>290</v>
      </c>
    </row>
    <row r="49" spans="1:4" ht="15.75">
      <c r="A49" s="39" t="s">
        <v>82</v>
      </c>
      <c r="B49" s="39"/>
      <c r="C49" s="35"/>
      <c r="D49" s="53"/>
    </row>
    <row r="50" spans="1:4" ht="15.75">
      <c r="A50" s="42" t="s">
        <v>83</v>
      </c>
      <c r="B50" s="42"/>
      <c r="C50" s="54"/>
      <c r="D50" s="41"/>
    </row>
    <row r="51" ht="15.75">
      <c r="C51" s="43">
        <f>IF(C23&gt;1,10,3)</f>
        <v>10</v>
      </c>
    </row>
    <row r="52" spans="2:3" ht="15.75">
      <c r="B52">
        <v>1</v>
      </c>
      <c r="C52" t="s">
        <v>62</v>
      </c>
    </row>
    <row r="53" spans="2:3" ht="15.75">
      <c r="B53">
        <v>2</v>
      </c>
      <c r="C53" t="s">
        <v>63</v>
      </c>
    </row>
    <row r="54" spans="2:3" ht="15.75">
      <c r="B54">
        <v>1</v>
      </c>
      <c r="C54" t="s">
        <v>49</v>
      </c>
    </row>
    <row r="55" spans="2:3" ht="15.75">
      <c r="B55">
        <v>2</v>
      </c>
      <c r="C55" t="s">
        <v>53</v>
      </c>
    </row>
    <row r="56" spans="2:3" ht="15.75">
      <c r="B56">
        <v>3</v>
      </c>
      <c r="C56" t="s">
        <v>58</v>
      </c>
    </row>
    <row r="57" spans="2:3" ht="15.75">
      <c r="B57">
        <v>4</v>
      </c>
      <c r="C57" t="s">
        <v>55</v>
      </c>
    </row>
    <row r="58" spans="2:3" ht="15.75">
      <c r="B58">
        <v>5</v>
      </c>
      <c r="C58" t="s">
        <v>43</v>
      </c>
    </row>
    <row r="59" spans="2:3" ht="15.75">
      <c r="B59">
        <v>6</v>
      </c>
      <c r="C59" t="s">
        <v>57</v>
      </c>
    </row>
    <row r="60" spans="2:3" ht="15.75">
      <c r="B60">
        <v>7</v>
      </c>
      <c r="C60" t="s">
        <v>47</v>
      </c>
    </row>
    <row r="61" spans="2:3" ht="15.75">
      <c r="B61">
        <v>8</v>
      </c>
      <c r="C61" t="s">
        <v>41</v>
      </c>
    </row>
    <row r="62" spans="2:3" ht="15.75">
      <c r="B62">
        <v>9</v>
      </c>
      <c r="C62" t="s">
        <v>45</v>
      </c>
    </row>
    <row r="63" spans="2:3" ht="15.75">
      <c r="B63">
        <v>10</v>
      </c>
      <c r="C63" t="s">
        <v>51</v>
      </c>
    </row>
    <row r="64" spans="2:3" ht="15.75">
      <c r="B64">
        <v>1</v>
      </c>
      <c r="C64" t="s">
        <v>84</v>
      </c>
    </row>
    <row r="65" spans="2:3" ht="15.75">
      <c r="B65" s="42">
        <v>2</v>
      </c>
      <c r="C65" s="42" t="s">
        <v>85</v>
      </c>
    </row>
    <row r="66" spans="2:3" ht="15.75">
      <c r="B66" s="44">
        <f>C5</f>
        <v>1</v>
      </c>
      <c r="C66" t="str">
        <f>VLOOKUP(C5,B52:C53,2)</f>
        <v>NOAEL</v>
      </c>
    </row>
    <row r="67" spans="2:3" ht="15.75">
      <c r="B67" s="44">
        <f>C6</f>
        <v>3</v>
      </c>
      <c r="C67" t="str">
        <f>VLOOKUP(C6,B54:C63,2)</f>
        <v>Rat</v>
      </c>
    </row>
    <row r="68" spans="2:3" ht="15.75">
      <c r="B68" s="44">
        <f>C7</f>
        <v>2</v>
      </c>
      <c r="C68" t="str">
        <f>VLOOKUP(C7,B64:C65,2)</f>
        <v>mg/m^3</v>
      </c>
    </row>
  </sheetData>
  <sheetProtection/>
  <mergeCells count="1"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8.28125" style="0" customWidth="1"/>
    <col min="2" max="2" width="13.00390625" style="0" customWidth="1"/>
    <col min="3" max="3" width="10.28125" style="0" customWidth="1"/>
    <col min="4" max="4" width="50.00390625" style="0" customWidth="1"/>
    <col min="5" max="5" width="3.7109375" style="0" customWidth="1"/>
    <col min="6" max="6" width="58.140625" style="0" customWidth="1"/>
  </cols>
  <sheetData>
    <row r="1" spans="1:6" ht="15.75">
      <c r="A1" t="s">
        <v>0</v>
      </c>
      <c r="F1" s="1" t="s">
        <v>1</v>
      </c>
    </row>
    <row r="2" spans="3:6" ht="15.75">
      <c r="C2" s="2" t="s">
        <v>2</v>
      </c>
      <c r="D2" s="3" t="s">
        <v>86</v>
      </c>
      <c r="F2" s="4" t="s">
        <v>3</v>
      </c>
    </row>
    <row r="3" spans="1:6" ht="15.75">
      <c r="A3" s="5"/>
      <c r="B3" s="5"/>
      <c r="C3" s="5"/>
      <c r="D3" s="5" t="s">
        <v>4</v>
      </c>
      <c r="F3" s="6" t="s">
        <v>5</v>
      </c>
    </row>
    <row r="4" spans="1:6" s="9" customFormat="1" ht="18" customHeight="1">
      <c r="A4" s="7" t="s">
        <v>6</v>
      </c>
      <c r="B4" s="55" t="s">
        <v>87</v>
      </c>
      <c r="C4" s="56"/>
      <c r="D4" s="57"/>
      <c r="F4" s="10" t="s">
        <v>7</v>
      </c>
    </row>
    <row r="5" spans="1:12" s="9" customFormat="1" ht="18" customHeight="1">
      <c r="A5" s="11"/>
      <c r="B5" s="12" t="s">
        <v>8</v>
      </c>
      <c r="C5" s="7">
        <v>1</v>
      </c>
      <c r="D5" s="7"/>
      <c r="F5" s="10" t="s">
        <v>9</v>
      </c>
      <c r="K5" s="9">
        <f>C14</f>
        <v>0.5897750511247444</v>
      </c>
      <c r="L5" s="9">
        <v>0.59</v>
      </c>
    </row>
    <row r="6" spans="1:12" s="9" customFormat="1" ht="18" customHeight="1">
      <c r="A6" s="13"/>
      <c r="B6" s="12" t="s">
        <v>10</v>
      </c>
      <c r="C6" s="7">
        <v>3</v>
      </c>
      <c r="D6" s="7"/>
      <c r="F6" s="10" t="s">
        <v>11</v>
      </c>
      <c r="K6" s="9">
        <f>6/24</f>
        <v>0.25</v>
      </c>
      <c r="L6" s="9">
        <f>6/24</f>
        <v>0.25</v>
      </c>
    </row>
    <row r="7" spans="1:12" s="9" customFormat="1" ht="18" customHeight="1">
      <c r="A7" s="13"/>
      <c r="B7" s="12" t="s">
        <v>67</v>
      </c>
      <c r="C7" s="7">
        <v>1</v>
      </c>
      <c r="D7" s="7"/>
      <c r="F7" s="10" t="s">
        <v>13</v>
      </c>
      <c r="K7" s="9">
        <f>5/7</f>
        <v>0.7142857142857143</v>
      </c>
      <c r="L7" s="9">
        <f>5/7</f>
        <v>0.7142857142857143</v>
      </c>
    </row>
    <row r="8" spans="1:13" ht="16.5">
      <c r="A8" s="13"/>
      <c r="B8" s="14" t="s">
        <v>68</v>
      </c>
      <c r="C8" s="15">
        <v>72.1</v>
      </c>
      <c r="D8" s="16" t="s">
        <v>69</v>
      </c>
      <c r="F8" s="17" t="s">
        <v>16</v>
      </c>
      <c r="K8" s="45">
        <f>K5*K6*K7</f>
        <v>0.10531697341513292</v>
      </c>
      <c r="L8" s="45">
        <f>L5*L6*L7</f>
        <v>0.10535714285714286</v>
      </c>
      <c r="M8" s="45">
        <v>0.105</v>
      </c>
    </row>
    <row r="9" spans="1:13" ht="16.5">
      <c r="A9" s="13"/>
      <c r="B9" s="14" t="s">
        <v>70</v>
      </c>
      <c r="C9" s="15"/>
      <c r="D9" s="16" t="s">
        <v>71</v>
      </c>
      <c r="F9" s="21" t="s">
        <v>18</v>
      </c>
      <c r="K9">
        <v>290</v>
      </c>
      <c r="L9">
        <v>290</v>
      </c>
      <c r="M9">
        <v>290</v>
      </c>
    </row>
    <row r="10" spans="1:13" ht="16.5">
      <c r="A10" s="11"/>
      <c r="B10" s="14" t="str">
        <f>CONCATENATE($C$66," Concentration:  ")</f>
        <v>NOAEL Concentration:  </v>
      </c>
      <c r="C10" s="15">
        <v>200</v>
      </c>
      <c r="D10" s="16" t="str">
        <f>CONCATENATE(" ",C68)</f>
        <v> ppm</v>
      </c>
      <c r="F10" s="21" t="s">
        <v>19</v>
      </c>
      <c r="K10">
        <v>0.425</v>
      </c>
      <c r="L10">
        <v>0.425</v>
      </c>
      <c r="M10">
        <v>0.425</v>
      </c>
    </row>
    <row r="11" spans="1:13" ht="16.5">
      <c r="A11" s="11"/>
      <c r="B11" s="14" t="s">
        <v>72</v>
      </c>
      <c r="C11" s="15">
        <v>6</v>
      </c>
      <c r="D11" s="16" t="s">
        <v>73</v>
      </c>
      <c r="F11" s="6" t="s">
        <v>21</v>
      </c>
      <c r="K11" s="44">
        <f>K8*K9/K10</f>
        <v>71.86334656562012</v>
      </c>
      <c r="L11" s="44">
        <f>L8*L9/L10</f>
        <v>71.89075630252101</v>
      </c>
      <c r="M11" s="44">
        <f>M8*M9/M10</f>
        <v>71.6470588235294</v>
      </c>
    </row>
    <row r="12" spans="1:6" ht="16.5">
      <c r="A12" s="11"/>
      <c r="B12" s="14" t="s">
        <v>74</v>
      </c>
      <c r="C12" s="15">
        <v>5</v>
      </c>
      <c r="D12" s="16" t="s">
        <v>15</v>
      </c>
      <c r="F12" s="6" t="s">
        <v>23</v>
      </c>
    </row>
    <row r="13" spans="1:6" ht="16.5">
      <c r="A13" s="11"/>
      <c r="B13" s="14" t="str">
        <f>B10</f>
        <v>NOAEL Concentration:  </v>
      </c>
      <c r="C13" s="16">
        <f>IF(C68="ppm",C10*C8/24.45,C10)</f>
        <v>589.7750511247443</v>
      </c>
      <c r="D13" s="16" t="s">
        <v>75</v>
      </c>
      <c r="F13" s="6" t="s">
        <v>25</v>
      </c>
    </row>
    <row r="14" spans="1:6" ht="16.5">
      <c r="A14" s="11"/>
      <c r="B14" s="14" t="str">
        <f>B10</f>
        <v>NOAEL Concentration:  </v>
      </c>
      <c r="C14" s="46">
        <f>C13/1000</f>
        <v>0.5897750511247444</v>
      </c>
      <c r="D14" s="16" t="s">
        <v>76</v>
      </c>
      <c r="F14" s="6" t="s">
        <v>28</v>
      </c>
    </row>
    <row r="15" spans="1:6" ht="16.5">
      <c r="A15" s="11"/>
      <c r="B15" s="14" t="s">
        <v>77</v>
      </c>
      <c r="C15" s="16">
        <f>IF(C67="Other",705.48*C16^0.847,VLOOKUP(C67,C40:D48,2))</f>
        <v>290</v>
      </c>
      <c r="D15" s="16" t="str">
        <f>CONCATENATE(" L/24 hr ICH default respiratory volume for ",$C$67)</f>
        <v> L/24 hr ICH default respiratory volume for Rat</v>
      </c>
      <c r="F15" s="6" t="s">
        <v>30</v>
      </c>
    </row>
    <row r="16" spans="2:6" ht="15.75">
      <c r="B16" s="14" t="s">
        <v>70</v>
      </c>
      <c r="C16" s="47">
        <f>IF(C67="Other",C9,VLOOKUP(C67,C29:D38,2))</f>
        <v>0.425</v>
      </c>
      <c r="D16" s="16" t="str">
        <f>CONCATENATE(" kg body mass for ",$C$67," (ICH default or entered value)")</f>
        <v> kg body mass for Rat (ICH default or entered value)</v>
      </c>
      <c r="F16" s="6" t="s">
        <v>31</v>
      </c>
    </row>
    <row r="17" spans="1:6" ht="15.75">
      <c r="A17" s="5"/>
      <c r="B17" s="48" t="str">
        <f>CONCATENATE($C$66," Dose:  ")</f>
        <v>NOAEL Dose:  </v>
      </c>
      <c r="C17" s="49">
        <f>(C14*C15/C16)*(C11/24)*(C12/7)</f>
        <v>71.86334656562012</v>
      </c>
      <c r="D17" s="20" t="s">
        <v>78</v>
      </c>
      <c r="F17" s="29" t="s">
        <v>34</v>
      </c>
    </row>
    <row r="18" spans="1:6" ht="15.75">
      <c r="A18" s="16"/>
      <c r="B18" s="22" t="str">
        <f>CONCATENATE("PDE = (",C5," x human wt)/(F1 x F2 x F3 x F4 x F5)")</f>
        <v>PDE = (1 x human wt)/(F1 x F2 x F3 x F4 x F5)</v>
      </c>
      <c r="C18" s="16"/>
      <c r="D18" s="22"/>
      <c r="E18" s="16"/>
      <c r="F18" s="4" t="s">
        <v>36</v>
      </c>
    </row>
    <row r="19" spans="1:6" ht="15.75">
      <c r="A19" s="16"/>
      <c r="B19" s="16"/>
      <c r="C19" s="16">
        <v>50</v>
      </c>
      <c r="D19" s="23" t="s">
        <v>20</v>
      </c>
      <c r="E19" s="16"/>
      <c r="F19" s="29" t="s">
        <v>38</v>
      </c>
    </row>
    <row r="20" spans="1:6" ht="15.75">
      <c r="A20" s="16"/>
      <c r="B20" s="16"/>
      <c r="C20" s="16">
        <f>VLOOKUP(C67,C29:E39,3)</f>
        <v>5</v>
      </c>
      <c r="D20" s="23" t="s">
        <v>22</v>
      </c>
      <c r="E20" s="16"/>
      <c r="F20" s="29" t="s">
        <v>40</v>
      </c>
    </row>
    <row r="21" spans="1:6" ht="15.75">
      <c r="A21" s="16"/>
      <c r="B21" s="16"/>
      <c r="C21" s="16">
        <v>10</v>
      </c>
      <c r="D21" s="23" t="s">
        <v>24</v>
      </c>
      <c r="E21" s="16"/>
      <c r="F21" s="6" t="s">
        <v>42</v>
      </c>
    </row>
    <row r="22" spans="1:6" ht="15.75">
      <c r="A22" s="16"/>
      <c r="B22" s="16"/>
      <c r="C22" s="15">
        <v>1</v>
      </c>
      <c r="D22" s="23" t="s">
        <v>27</v>
      </c>
      <c r="E22" s="16"/>
      <c r="F22" s="6" t="s">
        <v>44</v>
      </c>
    </row>
    <row r="23" spans="1:6" ht="15.75">
      <c r="A23" s="16"/>
      <c r="B23" s="16"/>
      <c r="C23" s="15">
        <v>10</v>
      </c>
      <c r="D23" s="23" t="s">
        <v>66</v>
      </c>
      <c r="E23" s="16"/>
      <c r="F23" s="6" t="s">
        <v>46</v>
      </c>
    </row>
    <row r="24" spans="1:6" ht="15.75">
      <c r="A24" s="16"/>
      <c r="B24" s="24"/>
      <c r="C24" s="16">
        <f>IF(C66="NOAEL",1,C51)</f>
        <v>1</v>
      </c>
      <c r="D24" s="25" t="str">
        <f>CONCATENATE("F5 (Factor for extrapolation from ",C66,")")</f>
        <v>F5 (Factor for extrapolation from NOAEL)</v>
      </c>
      <c r="E24" s="16"/>
      <c r="F24" s="17" t="s">
        <v>48</v>
      </c>
    </row>
    <row r="25" spans="1:6" ht="15.75">
      <c r="A25" s="16"/>
      <c r="B25" s="26" t="s">
        <v>32</v>
      </c>
      <c r="C25" s="27">
        <f>(C17*C19)/(C20*C21*C22*C23*C24)</f>
        <v>7.186334656562012</v>
      </c>
      <c r="D25" s="28" t="s">
        <v>33</v>
      </c>
      <c r="E25" s="16"/>
      <c r="F25" s="29" t="s">
        <v>50</v>
      </c>
    </row>
    <row r="26" spans="1:6" ht="15.75">
      <c r="A26" s="5"/>
      <c r="B26" s="5"/>
      <c r="C26" s="5">
        <f>C20*C21*C22*C23*C24</f>
        <v>500</v>
      </c>
      <c r="D26" s="5" t="s">
        <v>35</v>
      </c>
      <c r="E26" s="16"/>
      <c r="F26" s="37" t="s">
        <v>52</v>
      </c>
    </row>
    <row r="27" spans="1:6" ht="15.75">
      <c r="A27" s="30" t="s">
        <v>80</v>
      </c>
      <c r="B27" s="30"/>
      <c r="C27" s="16"/>
      <c r="D27" s="16"/>
      <c r="E27" s="16"/>
      <c r="F27" s="37" t="s">
        <v>54</v>
      </c>
    </row>
    <row r="28" spans="1:6" ht="15.75">
      <c r="A28" s="31" t="s">
        <v>39</v>
      </c>
      <c r="B28" s="31"/>
      <c r="C28" s="31"/>
      <c r="D28" s="31"/>
      <c r="E28" s="16"/>
      <c r="F28" s="38" t="s">
        <v>56</v>
      </c>
    </row>
    <row r="29" spans="1:5" ht="15.75">
      <c r="A29" s="16"/>
      <c r="B29" s="16"/>
      <c r="C29" s="32" t="s">
        <v>41</v>
      </c>
      <c r="D29" s="33">
        <v>11.5</v>
      </c>
      <c r="E29" s="16">
        <v>2</v>
      </c>
    </row>
    <row r="30" spans="1:5" ht="15.75">
      <c r="A30" s="16"/>
      <c r="B30" s="16"/>
      <c r="C30" s="14" t="s">
        <v>43</v>
      </c>
      <c r="D30" s="34">
        <v>0.5</v>
      </c>
      <c r="E30" s="16">
        <v>10</v>
      </c>
    </row>
    <row r="31" spans="1:5" ht="15.75">
      <c r="A31" s="16"/>
      <c r="B31" s="16"/>
      <c r="C31" s="35" t="s">
        <v>45</v>
      </c>
      <c r="D31" s="33">
        <v>50</v>
      </c>
      <c r="E31" s="16">
        <v>1</v>
      </c>
    </row>
    <row r="32" spans="1:5" ht="15.75">
      <c r="A32" s="16"/>
      <c r="B32" s="16"/>
      <c r="C32" s="14" t="s">
        <v>47</v>
      </c>
      <c r="D32" s="36">
        <v>2.5</v>
      </c>
      <c r="E32" s="16">
        <v>3</v>
      </c>
    </row>
    <row r="33" spans="1:5" ht="15.75">
      <c r="A33" s="16"/>
      <c r="B33" s="16"/>
      <c r="C33" s="14" t="s">
        <v>49</v>
      </c>
      <c r="D33" s="34">
        <v>0.028</v>
      </c>
      <c r="E33" s="16">
        <v>12</v>
      </c>
    </row>
    <row r="34" spans="1:5" ht="15.75">
      <c r="A34" s="16"/>
      <c r="B34" s="16"/>
      <c r="C34" s="14" t="s">
        <v>51</v>
      </c>
      <c r="D34" s="36"/>
      <c r="E34" s="16">
        <v>10</v>
      </c>
    </row>
    <row r="35" spans="1:5" ht="15.75">
      <c r="A35" s="16"/>
      <c r="B35" s="16"/>
      <c r="C35" s="14" t="s">
        <v>53</v>
      </c>
      <c r="D35" s="34">
        <v>0.03</v>
      </c>
      <c r="E35" s="16">
        <v>12</v>
      </c>
    </row>
    <row r="36" spans="1:5" ht="15.75">
      <c r="A36" s="16"/>
      <c r="B36" s="16"/>
      <c r="C36" s="14" t="s">
        <v>55</v>
      </c>
      <c r="D36" s="34">
        <v>0.33</v>
      </c>
      <c r="E36" s="16">
        <v>5</v>
      </c>
    </row>
    <row r="37" spans="1:5" ht="15.75">
      <c r="A37" s="39"/>
      <c r="B37" s="39"/>
      <c r="C37" s="14" t="s">
        <v>57</v>
      </c>
      <c r="D37" s="40">
        <v>4</v>
      </c>
      <c r="E37" s="16">
        <v>2.5</v>
      </c>
    </row>
    <row r="38" spans="1:5" ht="15.75">
      <c r="A38" s="22"/>
      <c r="B38" s="22"/>
      <c r="C38" s="14" t="s">
        <v>58</v>
      </c>
      <c r="D38" s="50">
        <v>0.425</v>
      </c>
      <c r="E38">
        <v>5</v>
      </c>
    </row>
    <row r="39" spans="1:5" ht="15.75">
      <c r="A39" s="28" t="s">
        <v>81</v>
      </c>
      <c r="B39" s="28"/>
      <c r="C39" s="28"/>
      <c r="D39" s="51"/>
      <c r="E39" s="52"/>
    </row>
    <row r="40" spans="1:4" ht="15.75">
      <c r="A40" s="39"/>
      <c r="B40" s="39"/>
      <c r="C40" s="35" t="s">
        <v>41</v>
      </c>
      <c r="D40" s="50">
        <v>9000</v>
      </c>
    </row>
    <row r="41" spans="1:4" ht="15.75">
      <c r="A41" s="39"/>
      <c r="B41" s="39"/>
      <c r="C41" s="35" t="s">
        <v>43</v>
      </c>
      <c r="D41" s="50">
        <v>430</v>
      </c>
    </row>
    <row r="42" spans="1:4" ht="15.75">
      <c r="A42" s="39"/>
      <c r="B42" s="39"/>
      <c r="C42" s="35" t="s">
        <v>45</v>
      </c>
      <c r="D42" s="53">
        <v>28800</v>
      </c>
    </row>
    <row r="43" spans="1:4" ht="15.75">
      <c r="A43" s="39"/>
      <c r="B43" s="39"/>
      <c r="C43" s="35" t="s">
        <v>47</v>
      </c>
      <c r="D43" s="50">
        <v>1150</v>
      </c>
    </row>
    <row r="44" spans="1:4" ht="15.75">
      <c r="A44" s="39"/>
      <c r="B44" s="39"/>
      <c r="C44" s="35" t="s">
        <v>49</v>
      </c>
      <c r="D44" s="50">
        <v>43</v>
      </c>
    </row>
    <row r="45" spans="3:4" ht="15.75">
      <c r="C45" s="35" t="s">
        <v>53</v>
      </c>
      <c r="D45" s="50">
        <v>43</v>
      </c>
    </row>
    <row r="46" spans="3:4" ht="15.75">
      <c r="C46" s="14" t="s">
        <v>55</v>
      </c>
      <c r="D46" s="50">
        <v>290</v>
      </c>
    </row>
    <row r="47" spans="3:4" ht="15.75">
      <c r="C47" s="35" t="s">
        <v>57</v>
      </c>
      <c r="D47" s="50">
        <v>1440</v>
      </c>
    </row>
    <row r="48" spans="1:4" ht="15.75">
      <c r="A48" s="42"/>
      <c r="B48" s="42"/>
      <c r="C48" s="54" t="s">
        <v>58</v>
      </c>
      <c r="D48" s="41">
        <v>290</v>
      </c>
    </row>
    <row r="49" spans="1:4" ht="15.75">
      <c r="A49" s="39" t="s">
        <v>82</v>
      </c>
      <c r="B49" s="39"/>
      <c r="C49" s="35"/>
      <c r="D49" s="53"/>
    </row>
    <row r="50" spans="1:4" ht="15.75">
      <c r="A50" s="42" t="s">
        <v>83</v>
      </c>
      <c r="B50" s="42"/>
      <c r="C50" s="54"/>
      <c r="D50" s="41"/>
    </row>
    <row r="51" ht="15.75">
      <c r="C51" s="43">
        <f>IF(C23&gt;1,10,3)</f>
        <v>10</v>
      </c>
    </row>
    <row r="52" spans="2:3" ht="15.75">
      <c r="B52">
        <v>1</v>
      </c>
      <c r="C52" t="s">
        <v>62</v>
      </c>
    </row>
    <row r="53" spans="2:3" ht="15.75">
      <c r="B53">
        <v>2</v>
      </c>
      <c r="C53" t="s">
        <v>63</v>
      </c>
    </row>
    <row r="54" spans="2:3" ht="15.75">
      <c r="B54">
        <v>1</v>
      </c>
      <c r="C54" t="s">
        <v>49</v>
      </c>
    </row>
    <row r="55" spans="2:3" ht="15.75">
      <c r="B55">
        <v>2</v>
      </c>
      <c r="C55" t="s">
        <v>53</v>
      </c>
    </row>
    <row r="56" spans="2:3" ht="15.75">
      <c r="B56">
        <v>3</v>
      </c>
      <c r="C56" t="s">
        <v>58</v>
      </c>
    </row>
    <row r="57" spans="2:3" ht="15.75">
      <c r="B57">
        <v>4</v>
      </c>
      <c r="C57" t="s">
        <v>55</v>
      </c>
    </row>
    <row r="58" spans="2:3" ht="15.75">
      <c r="B58">
        <v>5</v>
      </c>
      <c r="C58" t="s">
        <v>43</v>
      </c>
    </row>
    <row r="59" spans="2:3" ht="15.75">
      <c r="B59">
        <v>6</v>
      </c>
      <c r="C59" t="s">
        <v>57</v>
      </c>
    </row>
    <row r="60" spans="2:3" ht="15.75">
      <c r="B60">
        <v>7</v>
      </c>
      <c r="C60" t="s">
        <v>47</v>
      </c>
    </row>
    <row r="61" spans="2:3" ht="15.75">
      <c r="B61">
        <v>8</v>
      </c>
      <c r="C61" t="s">
        <v>41</v>
      </c>
    </row>
    <row r="62" spans="2:3" ht="15.75">
      <c r="B62">
        <v>9</v>
      </c>
      <c r="C62" t="s">
        <v>45</v>
      </c>
    </row>
    <row r="63" spans="2:3" ht="15.75">
      <c r="B63">
        <v>10</v>
      </c>
      <c r="C63" t="s">
        <v>51</v>
      </c>
    </row>
    <row r="64" spans="2:3" ht="15.75">
      <c r="B64">
        <v>1</v>
      </c>
      <c r="C64" t="s">
        <v>84</v>
      </c>
    </row>
    <row r="65" spans="2:3" ht="15.75">
      <c r="B65" s="42">
        <v>2</v>
      </c>
      <c r="C65" s="42" t="s">
        <v>85</v>
      </c>
    </row>
    <row r="66" spans="2:3" ht="15.75">
      <c r="B66" s="44">
        <f>C5</f>
        <v>1</v>
      </c>
      <c r="C66" t="str">
        <f>VLOOKUP(C5,B52:C53,2)</f>
        <v>NOAEL</v>
      </c>
    </row>
    <row r="67" spans="2:3" ht="15.75">
      <c r="B67" s="44">
        <f>C6</f>
        <v>3</v>
      </c>
      <c r="C67" t="str">
        <f>VLOOKUP(C6,B54:C63,2)</f>
        <v>Rat</v>
      </c>
    </row>
    <row r="68" spans="2:3" ht="15.75">
      <c r="B68" s="44">
        <f>C7</f>
        <v>1</v>
      </c>
      <c r="C68" t="str">
        <f>VLOOKUP(C7,B64:C65,2)</f>
        <v>ppm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Mark Vogel</dc:creator>
  <cp:keywords/>
  <dc:description/>
  <cp:lastModifiedBy>W. Vogel</cp:lastModifiedBy>
  <dcterms:created xsi:type="dcterms:W3CDTF">2005-10-04T16:09:44Z</dcterms:created>
  <dcterms:modified xsi:type="dcterms:W3CDTF">2008-04-26T01:13:23Z</dcterms:modified>
  <cp:category/>
  <cp:version/>
  <cp:contentType/>
  <cp:contentStatus/>
</cp:coreProperties>
</file>