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85" activeTab="0"/>
  </bookViews>
  <sheets>
    <sheet name="surface area scaling" sheetId="1" r:id="rId1"/>
    <sheet name="allometric scaling" sheetId="2" r:id="rId2"/>
  </sheets>
  <definedNames/>
  <calcPr fullCalcOnLoad="1"/>
</workbook>
</file>

<file path=xl/sharedStrings.xml><?xml version="1.0" encoding="utf-8"?>
<sst xmlns="http://schemas.openxmlformats.org/spreadsheetml/2006/main" count="63" uniqueCount="46">
  <si>
    <t>Dose Conversions and Safety Margins in mg/kg and mg/m²</t>
  </si>
  <si>
    <t>(Standard calculation using single default conversion factor for each species)</t>
  </si>
  <si>
    <t xml:space="preserve">Select Animal Species: </t>
  </si>
  <si>
    <t>mg/kg</t>
  </si>
  <si>
    <t>kg/m²</t>
  </si>
  <si>
    <t>mg/m²</t>
  </si>
  <si>
    <t xml:space="preserve">Select Comparator Species: </t>
  </si>
  <si>
    <t>Human Safety Margins</t>
  </si>
  <si>
    <t xml:space="preserve">Enter Human Body Weight: </t>
  </si>
  <si>
    <t>kg</t>
  </si>
  <si>
    <t>Human Body Weight</t>
  </si>
  <si>
    <t xml:space="preserve">Enter desired safety margin based on mg/m² : </t>
  </si>
  <si>
    <t>-fold</t>
  </si>
  <si>
    <t>Safety Margin based on mg/m²</t>
  </si>
  <si>
    <t>mg</t>
  </si>
  <si>
    <t xml:space="preserve">Enter a Human Dose: </t>
  </si>
  <si>
    <t>Human Dose in mg</t>
  </si>
  <si>
    <t>Human Dose in mg/kg</t>
  </si>
  <si>
    <t>Human Scaling Factor</t>
  </si>
  <si>
    <t>Human dose in mg/m²</t>
  </si>
  <si>
    <t>Scaling Factors:</t>
  </si>
  <si>
    <t>(kg/m²)</t>
  </si>
  <si>
    <t xml:space="preserve">Scaling factors are from: US FDA, CDER. Guidance for Industry: Estimating the Maximum Safe Starting Dose in Initial Clinical Trials for Therapeutics in Adult Healthy Volunteers. July 2005 </t>
  </si>
  <si>
    <t>Mouse</t>
  </si>
  <si>
    <t>Hamster</t>
  </si>
  <si>
    <t>Rat</t>
  </si>
  <si>
    <t>Guinea Pig</t>
  </si>
  <si>
    <t>Monkey</t>
  </si>
  <si>
    <t>Rabbit</t>
  </si>
  <si>
    <t>Dog</t>
  </si>
  <si>
    <t>Human</t>
  </si>
  <si>
    <t>Dose Conversions and Safety Margins Based on Allometric Scaling Factor</t>
  </si>
  <si>
    <t>(Species independent; based on selected allometric scaling factor)</t>
  </si>
  <si>
    <t>Select units for human dose:</t>
  </si>
  <si>
    <r>
      <t xml:space="preserve">Enter animal mg/kg dose here  </t>
    </r>
    <r>
      <rPr>
        <sz val="10"/>
        <rFont val="Wingdings"/>
        <family val="0"/>
      </rPr>
      <t>è</t>
    </r>
  </si>
  <si>
    <r>
      <t xml:space="preserve">Enter animal body mass here  </t>
    </r>
    <r>
      <rPr>
        <sz val="10"/>
        <rFont val="Wingdings"/>
        <family val="0"/>
      </rPr>
      <t>è</t>
    </r>
  </si>
  <si>
    <r>
      <t xml:space="preserve">Enter human dose here  </t>
    </r>
    <r>
      <rPr>
        <sz val="10"/>
        <rFont val="Wingdings"/>
        <family val="0"/>
      </rPr>
      <t>è</t>
    </r>
  </si>
  <si>
    <r>
      <t xml:space="preserve">Enter human body mass here  </t>
    </r>
    <r>
      <rPr>
        <sz val="10"/>
        <rFont val="Wingdings"/>
        <family val="0"/>
      </rPr>
      <t>è</t>
    </r>
  </si>
  <si>
    <r>
      <t xml:space="preserve">Enter allometric slope here  </t>
    </r>
    <r>
      <rPr>
        <sz val="10"/>
        <rFont val="Wingdings"/>
        <family val="0"/>
      </rPr>
      <t>è</t>
    </r>
  </si>
  <si>
    <t>(eg 0.67 for surface area, 0.75 for EPA default)</t>
  </si>
  <si>
    <t>Human dose =</t>
  </si>
  <si>
    <t>Interspecies scaling factor =</t>
  </si>
  <si>
    <t>Human equivalent to animal dose =</t>
  </si>
  <si>
    <t>-fold safety margin based on mg/kg</t>
  </si>
  <si>
    <t>-fold safety margin based on scaled human equivalent dose</t>
  </si>
  <si>
    <r>
      <t xml:space="preserve">Human Equivalent Dose = (Animal Dose) </t>
    </r>
    <r>
      <rPr>
        <sz val="11"/>
        <rFont val="Symbol"/>
        <family val="1"/>
      </rPr>
      <t></t>
    </r>
    <r>
      <rPr>
        <sz val="11"/>
        <rFont val="Arial"/>
        <family val="2"/>
      </rPr>
      <t xml:space="preserve"> (Human Mass/Animal Mass)</t>
    </r>
    <r>
      <rPr>
        <vertAlign val="superscript"/>
        <sz val="11"/>
        <rFont val="Arial"/>
        <family val="2"/>
      </rPr>
      <t>(1-Allometric Slope)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</si>
</sst>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0.0"/>
    <numFmt numFmtId="168" formatCode="&quot;TRUE&quot;;&quot;TRUE&quot;;&quot;FALSE&quot;"/>
  </numFmts>
  <fonts count="11"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0"/>
      <name val="Wingdings"/>
      <family val="0"/>
    </font>
    <font>
      <sz val="11"/>
      <name val="Arial"/>
      <family val="2"/>
    </font>
    <font>
      <sz val="11"/>
      <name val="Symbol"/>
      <family val="1"/>
    </font>
    <font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3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3" fillId="0" borderId="0" xfId="0" applyFont="1" applyAlignment="1" applyProtection="1">
      <alignment horizontal="right" vertical="center"/>
      <protection locked="0"/>
    </xf>
    <xf numFmtId="164" fontId="0" fillId="0" borderId="0" xfId="0" applyFont="1" applyAlignment="1">
      <alignment horizontal="right" vertical="center"/>
    </xf>
    <xf numFmtId="164" fontId="3" fillId="0" borderId="0" xfId="0" applyFont="1" applyAlignment="1" applyProtection="1">
      <alignment vertical="center"/>
      <protection locked="0"/>
    </xf>
    <xf numFmtId="164" fontId="4" fillId="0" borderId="0" xfId="0" applyFont="1" applyAlignment="1">
      <alignment horizontal="right"/>
    </xf>
    <xf numFmtId="164" fontId="0" fillId="0" borderId="2" xfId="0" applyFont="1" applyBorder="1" applyAlignment="1" applyProtection="1">
      <alignment horizontal="right"/>
      <protection locked="0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right"/>
    </xf>
    <xf numFmtId="164" fontId="0" fillId="0" borderId="3" xfId="0" applyFont="1" applyBorder="1" applyAlignment="1">
      <alignment horizontal="left"/>
    </xf>
    <xf numFmtId="164" fontId="5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vertical="top"/>
    </xf>
    <xf numFmtId="164" fontId="0" fillId="0" borderId="0" xfId="0" applyFont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 horizontal="left" vertical="center"/>
    </xf>
    <xf numFmtId="164" fontId="5" fillId="0" borderId="0" xfId="0" applyFont="1" applyAlignment="1">
      <alignment vertical="top"/>
    </xf>
    <xf numFmtId="164" fontId="4" fillId="0" borderId="0" xfId="0" applyFont="1" applyAlignment="1">
      <alignment horizontal="right" vertical="top"/>
    </xf>
    <xf numFmtId="164" fontId="0" fillId="0" borderId="0" xfId="0" applyFont="1" applyBorder="1" applyAlignment="1" applyProtection="1">
      <alignment horizontal="right" vertical="top"/>
      <protection locked="0"/>
    </xf>
    <xf numFmtId="164" fontId="0" fillId="0" borderId="0" xfId="0" applyFont="1" applyFill="1" applyBorder="1" applyAlignment="1">
      <alignment vertical="top"/>
    </xf>
    <xf numFmtId="164" fontId="0" fillId="0" borderId="0" xfId="0" applyFont="1" applyBorder="1" applyAlignment="1">
      <alignment horizontal="left" vertical="top"/>
    </xf>
    <xf numFmtId="164" fontId="0" fillId="0" borderId="2" xfId="0" applyFont="1" applyBorder="1" applyAlignment="1" applyProtection="1">
      <alignment horizontal="right" vertical="center"/>
      <protection locked="0"/>
    </xf>
    <xf numFmtId="164" fontId="0" fillId="0" borderId="0" xfId="0" applyFont="1" applyBorder="1" applyAlignment="1" applyProtection="1">
      <alignment horizontal="right"/>
      <protection/>
    </xf>
    <xf numFmtId="164" fontId="3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 horizontal="left"/>
    </xf>
    <xf numFmtId="164" fontId="4" fillId="0" borderId="3" xfId="0" applyFont="1" applyBorder="1" applyAlignment="1">
      <alignment horizontal="right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vertical="center" wrapText="1"/>
    </xf>
    <xf numFmtId="164" fontId="6" fillId="0" borderId="0" xfId="0" applyFont="1" applyAlignment="1">
      <alignment/>
    </xf>
    <xf numFmtId="164" fontId="0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3" fillId="0" borderId="1" xfId="0" applyFont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4" fontId="0" fillId="0" borderId="2" xfId="0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>
      <alignment/>
    </xf>
    <xf numFmtId="164" fontId="8" fillId="0" borderId="0" xfId="0" applyFont="1" applyAlignment="1">
      <alignment/>
    </xf>
    <xf numFmtId="164" fontId="4" fillId="0" borderId="0" xfId="0" applyFont="1" applyAlignment="1">
      <alignment horizontal="left"/>
    </xf>
    <xf numFmtId="168" fontId="0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5"/>
  <sheetViews>
    <sheetView showGridLines="0" tabSelected="1" workbookViewId="0" topLeftCell="A1">
      <selection activeCell="J18" sqref="J18"/>
    </sheetView>
  </sheetViews>
  <sheetFormatPr defaultColWidth="9.140625" defaultRowHeight="12.75"/>
  <cols>
    <col min="1" max="1" width="2.7109375" style="1" customWidth="1"/>
    <col min="2" max="2" width="23.28125" style="1" customWidth="1"/>
    <col min="3" max="3" width="11.28125" style="1" customWidth="1"/>
    <col min="4" max="4" width="9.57421875" style="1" customWidth="1"/>
    <col min="5" max="5" width="7.7109375" style="1" customWidth="1"/>
    <col min="6" max="6" width="8.8515625" style="1" customWidth="1"/>
    <col min="7" max="7" width="9.140625" style="1" customWidth="1"/>
    <col min="8" max="8" width="8.140625" style="1" customWidth="1"/>
    <col min="9" max="9" width="10.7109375" style="1" customWidth="1"/>
    <col min="10" max="16384" width="9.140625" style="1" customWidth="1"/>
  </cols>
  <sheetData>
    <row r="1" ht="18">
      <c r="B1" s="2" t="s">
        <v>0</v>
      </c>
    </row>
    <row r="2" spans="2:9" ht="14.25" customHeight="1">
      <c r="B2" s="3" t="s">
        <v>1</v>
      </c>
      <c r="C2" s="4"/>
      <c r="D2" s="4"/>
      <c r="E2" s="4"/>
      <c r="F2" s="4"/>
      <c r="G2" s="4"/>
      <c r="H2" s="4"/>
      <c r="I2" s="4"/>
    </row>
    <row r="3" spans="2:6" s="5" customFormat="1" ht="21" customHeight="1">
      <c r="B3" s="6"/>
      <c r="C3" s="7" t="s">
        <v>2</v>
      </c>
      <c r="D3" s="8"/>
      <c r="E3" s="9"/>
      <c r="F3" s="10"/>
    </row>
    <row r="4" spans="3:7" ht="15.75" customHeight="1">
      <c r="C4" s="11" t="str">
        <f>CONCATENATE("Enter ",VLOOKUP($C$33,$A$24:$C$31,2,FALSE)," mg/kg Dose: ")</f>
        <v>Enter Dog mg/kg Dose: </v>
      </c>
      <c r="D4" s="12">
        <v>50</v>
      </c>
      <c r="E4" s="1" t="s">
        <v>3</v>
      </c>
      <c r="F4" s="13" t="str">
        <f>CONCATENATE(VLOOKUP($C$33,$A$24:$C$31,2,FALSE)," mg/kg Dose")</f>
        <v>Dog mg/kg Dose</v>
      </c>
      <c r="G4" s="14"/>
    </row>
    <row r="5" spans="4:6" ht="15.75">
      <c r="D5" s="15">
        <f>VLOOKUP(C33,A24:C31,3,FALSE)</f>
        <v>20</v>
      </c>
      <c r="E5" s="1" t="s">
        <v>4</v>
      </c>
      <c r="F5" s="13" t="str">
        <f>CONCATENATE(VLOOKUP($C$33,$A$24:$C$31,2,FALSE)," Scaling Factor")</f>
        <v>Dog Scaling Factor</v>
      </c>
    </row>
    <row r="6" spans="2:10" ht="15.75">
      <c r="B6" s="14"/>
      <c r="C6" s="14"/>
      <c r="D6" s="16">
        <f>D5*D4</f>
        <v>1000</v>
      </c>
      <c r="E6" s="14" t="s">
        <v>5</v>
      </c>
      <c r="F6" s="13" t="str">
        <f>CONCATENATE(VLOOKUP($C$33,$A$24:$C$31,2,FALSE)," mg/m² Dose")</f>
        <v>Dog mg/m² Dose</v>
      </c>
      <c r="H6" s="14"/>
      <c r="J6" s="14"/>
    </row>
    <row r="7" spans="2:10" ht="18" customHeight="1">
      <c r="B7" s="14"/>
      <c r="C7" s="7" t="s">
        <v>6</v>
      </c>
      <c r="D7" s="17"/>
      <c r="E7" s="14"/>
      <c r="H7" s="14"/>
      <c r="J7" s="14"/>
    </row>
    <row r="8" spans="2:10" ht="15.75">
      <c r="B8" s="14"/>
      <c r="C8" s="14"/>
      <c r="D8" s="15">
        <f>VLOOKUP(D33,A24:C31,3,FALSE)</f>
        <v>6</v>
      </c>
      <c r="E8" s="1" t="s">
        <v>4</v>
      </c>
      <c r="F8" s="13" t="str">
        <f>CONCATENATE(VLOOKUP($D$33,$A$24:$C$31,2,FALSE)," Scaling Factor")</f>
        <v>Rat Scaling Factor</v>
      </c>
      <c r="H8" s="14"/>
      <c r="J8" s="14"/>
    </row>
    <row r="9" spans="2:10" ht="15.75">
      <c r="B9" s="18"/>
      <c r="C9" s="18"/>
      <c r="D9" s="19">
        <f>D6/D8</f>
        <v>166.66666666666666</v>
      </c>
      <c r="E9" s="18" t="s">
        <v>3</v>
      </c>
      <c r="F9" s="20" t="str">
        <f>CONCATENATE(VLOOKUP($D$33,$A$24:$C$31,2,FALSE)," Equivalent Dose based on mg/m²")</f>
        <v>Rat Equivalent Dose based on mg/m²</v>
      </c>
      <c r="G9" s="18"/>
      <c r="H9" s="18"/>
      <c r="I9" s="18"/>
      <c r="J9" s="14"/>
    </row>
    <row r="10" spans="2:6" ht="15" customHeight="1">
      <c r="B10" s="21" t="s">
        <v>7</v>
      </c>
      <c r="F10" s="13"/>
    </row>
    <row r="11" spans="2:7" ht="15" customHeight="1">
      <c r="B11" s="21"/>
      <c r="D11" s="11" t="s">
        <v>8</v>
      </c>
      <c r="E11" s="12">
        <v>70</v>
      </c>
      <c r="F11" s="1" t="s">
        <v>9</v>
      </c>
      <c r="G11" s="13" t="s">
        <v>10</v>
      </c>
    </row>
    <row r="12" spans="2:7" ht="15" customHeight="1">
      <c r="B12" s="21"/>
      <c r="D12" s="11" t="s">
        <v>11</v>
      </c>
      <c r="E12" s="12">
        <v>20</v>
      </c>
      <c r="F12" s="22" t="s">
        <v>12</v>
      </c>
      <c r="G12" s="23" t="s">
        <v>13</v>
      </c>
    </row>
    <row r="13" spans="2:9" s="24" customFormat="1" ht="15" customHeight="1">
      <c r="B13" s="25"/>
      <c r="C13" s="6"/>
      <c r="D13" s="6" t="str">
        <f>CONCATENATE("Compared to ",VLOOKUP($C$33,$A$24:$C$31,2,FALSE)," dose of  ",TEXT(D6,"0.00")," mg/m² : ")</f>
        <v>Compared to Dog dose of  1000.00 mg/m² : </v>
      </c>
      <c r="E13" s="26">
        <f>D6/E12</f>
        <v>50</v>
      </c>
      <c r="F13" s="27" t="s">
        <v>5</v>
      </c>
      <c r="G13" s="28" t="str">
        <f>CONCATENATE("= corresponding Human Dose with ",$E$12,"-fold safety margin")</f>
        <v>= corresponding Human Dose with 20-fold safety margin</v>
      </c>
      <c r="H13" s="25"/>
      <c r="I13" s="25"/>
    </row>
    <row r="14" spans="2:7" s="24" customFormat="1" ht="15" customHeight="1">
      <c r="B14" s="29"/>
      <c r="C14" s="30"/>
      <c r="D14" s="31"/>
      <c r="E14" s="32">
        <f>E13/37</f>
        <v>1.3513513513513513</v>
      </c>
      <c r="F14" s="33" t="s">
        <v>3</v>
      </c>
      <c r="G14" s="28" t="str">
        <f>CONCATENATE("= corresponding Human Dose with ",$E$12,"-fold safety margin")</f>
        <v>= corresponding Human Dose with 20-fold safety margin</v>
      </c>
    </row>
    <row r="15" spans="2:7" s="24" customFormat="1" ht="19.5" customHeight="1">
      <c r="B15" s="29"/>
      <c r="C15" s="30"/>
      <c r="D15" s="31"/>
      <c r="E15" s="32">
        <f>E14*E11</f>
        <v>94.5945945945946</v>
      </c>
      <c r="F15" s="33" t="s">
        <v>14</v>
      </c>
      <c r="G15" s="28" t="str">
        <f>CONCATENATE("= corresponding Human Dose with ",$E$12,"-fold safety margin")</f>
        <v>= corresponding Human Dose with 20-fold safety margin</v>
      </c>
    </row>
    <row r="16" spans="2:7" ht="15" customHeight="1">
      <c r="B16" s="28"/>
      <c r="D16" s="6" t="s">
        <v>15</v>
      </c>
      <c r="E16" s="34">
        <v>125</v>
      </c>
      <c r="G16" s="28" t="str">
        <f>CONCATENATE("Human Dose in ",VLOOKUP($E$33,C34:D35,2,FALSE))</f>
        <v>Human Dose in mg</v>
      </c>
    </row>
    <row r="17" spans="4:9" ht="18">
      <c r="D17" s="11"/>
      <c r="E17" s="35">
        <f>E11*E18</f>
        <v>125</v>
      </c>
      <c r="F17" s="1" t="s">
        <v>14</v>
      </c>
      <c r="G17" s="13" t="s">
        <v>16</v>
      </c>
      <c r="I17" s="36"/>
    </row>
    <row r="18" spans="3:9" ht="18">
      <c r="C18" s="11"/>
      <c r="E18" s="37">
        <f>IF(E33=1,E16/E11,E16)</f>
        <v>1.7857142857142858</v>
      </c>
      <c r="F18" s="1" t="s">
        <v>3</v>
      </c>
      <c r="G18" s="13" t="s">
        <v>17</v>
      </c>
      <c r="I18" s="36"/>
    </row>
    <row r="19" spans="3:7" ht="15.75">
      <c r="C19" s="15"/>
      <c r="E19" s="15">
        <v>37</v>
      </c>
      <c r="F19" s="1" t="s">
        <v>4</v>
      </c>
      <c r="G19" s="13" t="s">
        <v>18</v>
      </c>
    </row>
    <row r="20" spans="2:9" ht="15.75">
      <c r="B20" s="14"/>
      <c r="C20" s="14"/>
      <c r="E20" s="38">
        <f>E18*E19</f>
        <v>66.07142857142857</v>
      </c>
      <c r="F20" s="14" t="s">
        <v>5</v>
      </c>
      <c r="G20" s="14" t="s">
        <v>19</v>
      </c>
      <c r="H20" s="14"/>
      <c r="I20" s="14"/>
    </row>
    <row r="21" spans="2:3" ht="15.75">
      <c r="B21" s="39">
        <f>D4/E18</f>
        <v>28</v>
      </c>
      <c r="C21" s="13" t="str">
        <f>CONCATENATE("-fold safety margin on mg/kg basis vs ",VLOOKUP($C$33,$A$24:$C$31,2,FALSE)," dose of ",TEXT(D4,"0.00")," mg/kg")</f>
        <v>-fold safety margin on mg/kg basis vs Dog dose of 50.00 mg/kg</v>
      </c>
    </row>
    <row r="22" spans="2:9" ht="15.75">
      <c r="B22" s="40">
        <f>D6/E20</f>
        <v>15.135135135135135</v>
      </c>
      <c r="C22" s="41" t="str">
        <f>CONCATENATE("-fold safety margin on mg/m² basis vs ",VLOOKUP($C$33,$A$24:$C$31,2,FALSE)," dose of ",TEXT(D6,"0.00")," mg/m²")</f>
        <v>-fold safety margin on mg/m² basis vs Dog dose of 1000.00 mg/m²</v>
      </c>
      <c r="D22" s="4"/>
      <c r="E22" s="4"/>
      <c r="F22" s="4"/>
      <c r="G22" s="4"/>
      <c r="H22" s="4"/>
      <c r="I22" s="4"/>
    </row>
    <row r="23" spans="2:8" ht="15.75">
      <c r="B23" s="42" t="s">
        <v>20</v>
      </c>
      <c r="C23" s="43" t="s">
        <v>21</v>
      </c>
      <c r="D23" s="44" t="s">
        <v>22</v>
      </c>
      <c r="E23" s="44"/>
      <c r="F23" s="44"/>
      <c r="G23" s="44"/>
      <c r="H23" s="44"/>
    </row>
    <row r="24" spans="1:8" ht="15.75">
      <c r="A24" s="45">
        <v>1</v>
      </c>
      <c r="B24" s="15" t="s">
        <v>23</v>
      </c>
      <c r="C24" s="46">
        <v>3</v>
      </c>
      <c r="D24" s="44"/>
      <c r="E24" s="44"/>
      <c r="F24" s="44"/>
      <c r="G24" s="44"/>
      <c r="H24" s="44"/>
    </row>
    <row r="25" spans="1:8" ht="15.75">
      <c r="A25" s="45">
        <v>2</v>
      </c>
      <c r="B25" s="15" t="s">
        <v>24</v>
      </c>
      <c r="C25" s="46">
        <v>4</v>
      </c>
      <c r="D25" s="44"/>
      <c r="E25" s="44"/>
      <c r="F25" s="44"/>
      <c r="G25" s="44"/>
      <c r="H25" s="44"/>
    </row>
    <row r="26" spans="1:8" ht="15.75">
      <c r="A26" s="45">
        <v>3</v>
      </c>
      <c r="B26" s="15" t="s">
        <v>25</v>
      </c>
      <c r="C26" s="46">
        <v>6</v>
      </c>
      <c r="D26" s="44"/>
      <c r="E26" s="44"/>
      <c r="F26" s="44"/>
      <c r="G26" s="44"/>
      <c r="H26" s="44"/>
    </row>
    <row r="27" spans="1:8" ht="15.75">
      <c r="A27" s="45">
        <v>4</v>
      </c>
      <c r="B27" s="15" t="s">
        <v>26</v>
      </c>
      <c r="C27" s="46">
        <v>8</v>
      </c>
      <c r="D27" s="44"/>
      <c r="E27" s="44"/>
      <c r="F27" s="44"/>
      <c r="G27" s="44"/>
      <c r="H27" s="44"/>
    </row>
    <row r="28" spans="1:8" ht="15.75">
      <c r="A28" s="45">
        <v>5</v>
      </c>
      <c r="B28" s="15" t="s">
        <v>27</v>
      </c>
      <c r="C28" s="46">
        <v>12</v>
      </c>
      <c r="D28" s="44"/>
      <c r="E28" s="44"/>
      <c r="F28" s="44"/>
      <c r="G28" s="44"/>
      <c r="H28" s="44"/>
    </row>
    <row r="29" spans="1:8" ht="15.75">
      <c r="A29" s="45">
        <v>6</v>
      </c>
      <c r="B29" s="15" t="s">
        <v>28</v>
      </c>
      <c r="C29" s="46">
        <v>12</v>
      </c>
      <c r="H29" s="47"/>
    </row>
    <row r="30" spans="1:8" ht="15.75">
      <c r="A30" s="45">
        <v>7</v>
      </c>
      <c r="B30" s="15" t="s">
        <v>29</v>
      </c>
      <c r="C30" s="46">
        <v>20</v>
      </c>
      <c r="H30" s="47"/>
    </row>
    <row r="31" spans="1:3" ht="15.75">
      <c r="A31" s="45">
        <v>8</v>
      </c>
      <c r="B31" s="19" t="s">
        <v>30</v>
      </c>
      <c r="C31" s="43">
        <v>37</v>
      </c>
    </row>
    <row r="33" spans="3:5" ht="12.75" hidden="1">
      <c r="C33" s="48">
        <v>7</v>
      </c>
      <c r="D33" s="46">
        <v>3</v>
      </c>
      <c r="E33" s="48">
        <v>1</v>
      </c>
    </row>
    <row r="34" spans="3:4" ht="12.75" hidden="1">
      <c r="C34" s="49">
        <v>1</v>
      </c>
      <c r="D34" s="1" t="s">
        <v>14</v>
      </c>
    </row>
    <row r="35" spans="3:4" ht="12.75" hidden="1">
      <c r="C35" s="49">
        <v>2</v>
      </c>
      <c r="D35" s="1" t="s">
        <v>3</v>
      </c>
    </row>
  </sheetData>
  <sheetProtection/>
  <mergeCells count="1">
    <mergeCell ref="D23:H28"/>
  </mergeCells>
  <printOptions/>
  <pageMargins left="0.5" right="0.5" top="0.9840277777777777" bottom="0.9840277777777777" header="0.5118055555555555" footer="0.511805555555555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24"/>
  <sheetViews>
    <sheetView showGridLines="0" workbookViewId="0" topLeftCell="A1">
      <selection activeCell="B26" sqref="B26"/>
    </sheetView>
  </sheetViews>
  <sheetFormatPr defaultColWidth="9.140625" defaultRowHeight="12.75"/>
  <cols>
    <col min="1" max="1" width="27.140625" style="1" customWidth="1"/>
    <col min="2" max="2" width="11.28125" style="1" customWidth="1"/>
    <col min="3" max="3" width="9.57421875" style="1" customWidth="1"/>
    <col min="4" max="4" width="9.140625" style="1" customWidth="1"/>
    <col min="5" max="5" width="7.8515625" style="1" customWidth="1"/>
    <col min="6" max="6" width="9.140625" style="1" customWidth="1"/>
    <col min="7" max="7" width="13.28125" style="1" customWidth="1"/>
    <col min="8" max="16384" width="9.140625" style="1" customWidth="1"/>
  </cols>
  <sheetData>
    <row r="1" ht="18">
      <c r="A1" s="2" t="s">
        <v>31</v>
      </c>
    </row>
    <row r="2" ht="15.75">
      <c r="A2" s="50" t="s">
        <v>32</v>
      </c>
    </row>
    <row r="3" spans="1:4" s="36" customFormat="1" ht="18.75" customHeight="1">
      <c r="A3" s="30"/>
      <c r="B3" s="9"/>
      <c r="D3" s="9"/>
    </row>
    <row r="4" spans="1:4" s="36" customFormat="1" ht="18.75" customHeight="1">
      <c r="A4" s="30" t="s">
        <v>33</v>
      </c>
      <c r="B4" s="9" t="s">
        <v>14</v>
      </c>
      <c r="C4" s="51"/>
      <c r="D4" s="9" t="s">
        <v>3</v>
      </c>
    </row>
    <row r="5" spans="1:7" s="36" customFormat="1" ht="7.5" customHeight="1">
      <c r="A5" s="52"/>
      <c r="B5" s="52"/>
      <c r="C5" s="52"/>
      <c r="D5" s="52"/>
      <c r="E5" s="52"/>
      <c r="F5" s="52"/>
      <c r="G5" s="52"/>
    </row>
    <row r="6" spans="2:5" ht="15.75">
      <c r="B6" s="15" t="s">
        <v>34</v>
      </c>
      <c r="C6" s="53">
        <v>20</v>
      </c>
      <c r="D6" s="1" t="s">
        <v>3</v>
      </c>
      <c r="E6" s="46"/>
    </row>
    <row r="7" spans="2:5" ht="15.75">
      <c r="B7" s="15" t="s">
        <v>35</v>
      </c>
      <c r="C7" s="54">
        <v>0.03</v>
      </c>
      <c r="D7" s="1" t="s">
        <v>9</v>
      </c>
      <c r="E7" s="46"/>
    </row>
    <row r="8" spans="2:5" ht="15.75">
      <c r="B8" s="15" t="s">
        <v>36</v>
      </c>
      <c r="C8" s="53">
        <v>2</v>
      </c>
      <c r="D8" s="1" t="str">
        <f>IF(A24=1,"mg","mg/kg")</f>
        <v>mg/kg</v>
      </c>
      <c r="E8" s="46"/>
    </row>
    <row r="9" spans="2:5" ht="15.75">
      <c r="B9" s="15" t="s">
        <v>37</v>
      </c>
      <c r="C9" s="55">
        <v>70</v>
      </c>
      <c r="D9" s="1" t="s">
        <v>9</v>
      </c>
      <c r="E9" s="46"/>
    </row>
    <row r="10" spans="2:5" ht="15.75">
      <c r="B10" s="15" t="s">
        <v>38</v>
      </c>
      <c r="C10" s="55">
        <v>0.6666667</v>
      </c>
      <c r="D10" s="13" t="s">
        <v>39</v>
      </c>
      <c r="E10" s="46"/>
    </row>
    <row r="12" spans="2:4" ht="15.75">
      <c r="B12" s="15" t="s">
        <v>40</v>
      </c>
      <c r="C12" s="15">
        <f>IF(A24=1,C8/C9,C8)</f>
        <v>2</v>
      </c>
      <c r="D12" s="1" t="s">
        <v>3</v>
      </c>
    </row>
    <row r="13" spans="2:5" ht="15.75">
      <c r="B13" s="15" t="s">
        <v>41</v>
      </c>
      <c r="C13" s="1">
        <f>(C9/C7)^ABS(1-C10)</f>
        <v>13.263520597677301</v>
      </c>
      <c r="E13" s="13"/>
    </row>
    <row r="14" spans="2:5" ht="15.75">
      <c r="B14" s="15" t="s">
        <v>42</v>
      </c>
      <c r="C14" s="15">
        <f>C6/C13</f>
        <v>1.5078952720518553</v>
      </c>
      <c r="D14" s="1" t="s">
        <v>3</v>
      </c>
      <c r="E14" s="46"/>
    </row>
    <row r="15" spans="1:7" ht="15.75">
      <c r="A15" s="18"/>
      <c r="B15" s="18"/>
      <c r="C15" s="43"/>
      <c r="D15" s="18"/>
      <c r="E15" s="43"/>
      <c r="F15" s="18"/>
      <c r="G15" s="18"/>
    </row>
    <row r="16" spans="2:3" ht="15.75">
      <c r="B16" s="1">
        <f>C6/C12</f>
        <v>10</v>
      </c>
      <c r="C16" s="1" t="s">
        <v>43</v>
      </c>
    </row>
    <row r="17" spans="1:7" ht="15.75">
      <c r="A17" s="4"/>
      <c r="B17" s="56">
        <f>C14/C12</f>
        <v>0.7539476360259276</v>
      </c>
      <c r="C17" s="4" t="s">
        <v>44</v>
      </c>
      <c r="D17" s="4"/>
      <c r="E17" s="4"/>
      <c r="F17" s="4"/>
      <c r="G17" s="4"/>
    </row>
    <row r="18" ht="8.25" customHeight="1">
      <c r="I18" s="15"/>
    </row>
    <row r="19" spans="1:9" ht="18">
      <c r="A19" s="57" t="s">
        <v>45</v>
      </c>
      <c r="B19" s="58"/>
      <c r="I19" s="15"/>
    </row>
    <row r="24" ht="12.75" hidden="1">
      <c r="A24" s="59" t="b"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WMVOGEL</dc:creator>
  <cp:keywords/>
  <dc:description/>
  <cp:lastModifiedBy>wmvogel</cp:lastModifiedBy>
  <cp:lastPrinted>2005-07-28T20:54:28Z</cp:lastPrinted>
  <dcterms:created xsi:type="dcterms:W3CDTF">2001-05-04T11:55:07Z</dcterms:created>
  <dcterms:modified xsi:type="dcterms:W3CDTF">2008-03-14T17:20:16Z</dcterms:modified>
  <cp:category/>
  <cp:version/>
  <cp:contentType/>
  <cp:contentStatus/>
</cp:coreProperties>
</file>