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0" yWindow="6180" windowWidth="11970" windowHeight="6840" tabRatio="782" firstSheet="0" activeTab="6"/>
  </bookViews>
  <sheets>
    <sheet name="INTRO" sheetId="1" r:id="rId1"/>
    <sheet name="t test" sheetId="2" r:id="rId2"/>
    <sheet name="T_SD_SEM" sheetId="3" r:id="rId3"/>
    <sheet name="Fisher's Exact" sheetId="4" r:id="rId4"/>
    <sheet name="CHI² 2x2" sheetId="5" r:id="rId5"/>
    <sheet name="CHI² 2  X C" sheetId="6" r:id="rId6"/>
    <sheet name="regression" sheetId="7" r:id="rId7"/>
    <sheet name="ANOVA" sheetId="8" r:id="rId8"/>
  </sheets>
  <definedNames>
    <definedName name="\n">'T_SD_SEM'!#REF!</definedName>
    <definedName name="\t">'T_SD_SEM'!#REF!</definedName>
    <definedName name="_Key1" hidden="1">'T_SD_SEM'!#REF!</definedName>
    <definedName name="_Order1" hidden="1">0</definedName>
    <definedName name="_Regression_Int" localSheetId="3" hidden="1">1</definedName>
    <definedName name="_Regression_Int" localSheetId="2" hidden="1">1</definedName>
    <definedName name="_Sort" hidden="1">'T_SD_SEM'!#REF!</definedName>
    <definedName name="DATA">'T_SD_SEM'!$B$5:$C$8</definedName>
    <definedName name="DEG_F">'T_SD_SEM'!$B$16</definedName>
    <definedName name="Group_1">'t test'!$A$3:$A$103</definedName>
    <definedName name="Group_2">'t test'!$B$3:$B$103</definedName>
    <definedName name="NEW">'T_SD_SEM'!$A$4</definedName>
    <definedName name="_xlnm.Print_Area" localSheetId="7">'ANOVA'!$K$2:$S$28</definedName>
    <definedName name="_xlnm.Print_Area" localSheetId="5">'CHI² 2  X C'!$A$1:$H$33</definedName>
    <definedName name="_xlnm.Print_Area" localSheetId="4">'CHI² 2x2'!$A$1:$G$39</definedName>
    <definedName name="_xlnm.Print_Area" localSheetId="3">'Fisher''s Exact'!$A$1:$I$23</definedName>
    <definedName name="_xlnm.Print_Area" localSheetId="6">'regression'!$C$2:$M$23</definedName>
    <definedName name="_xlnm.Print_Area" localSheetId="1">'t test'!$A$1:$G$41</definedName>
    <definedName name="_xlnm.Print_Area" localSheetId="2">'T_SD_SEM'!$A$2:$E$19</definedName>
    <definedName name="Print_Area_MI" localSheetId="2">'T_SD_SEM'!$A$4:$D$19</definedName>
    <definedName name="QQQ">'T_SD_SEM'!#REF!</definedName>
    <definedName name="START">'T_SD_SEM'!#REF!</definedName>
    <definedName name="TABLE">'T_SD_SEM'!#REF!</definedName>
    <definedName name="VALUE">'T_SD_SEM'!#REF!</definedName>
    <definedName name="x_value">'regression'!$A$4:$A$103</definedName>
    <definedName name="y_value">'regression'!$B$4:$B$103</definedName>
  </definedNames>
  <calcPr fullCalcOnLoad="1"/>
</workbook>
</file>

<file path=xl/sharedStrings.xml><?xml version="1.0" encoding="utf-8"?>
<sst xmlns="http://schemas.openxmlformats.org/spreadsheetml/2006/main" count="361" uniqueCount="239">
  <si>
    <t>Calculation of unpaired t-test from mean, n, and SD or SEM.</t>
  </si>
  <si>
    <t>SD</t>
  </si>
  <si>
    <t>Sx²</t>
  </si>
  <si>
    <t>pooled Sx²</t>
  </si>
  <si>
    <t>Difference</t>
  </si>
  <si>
    <t>SED</t>
  </si>
  <si>
    <t>t</t>
  </si>
  <si>
    <t>d.f.</t>
  </si>
  <si>
    <t>1-tail P =</t>
  </si>
  <si>
    <t>Lest Significant Difference =</t>
  </si>
  <si>
    <t>2-tail P =</t>
  </si>
  <si>
    <t>FISHER EXACT PROBABILITY</t>
  </si>
  <si>
    <t>p=(A+B)!(C+D)!(A+C)!(B+D)!/N!A!B!C!D!</t>
  </si>
  <si>
    <t>Use this test when N &lt; 100; for N &gt; 100, use CHI² test</t>
  </si>
  <si>
    <t>You can overwrite "Data Set" description, group, and outcome names to suite your data</t>
  </si>
  <si>
    <t>Enter data in grey shaded area of 2x2 table below; remember to press "ENTER" after last entry.</t>
  </si>
  <si>
    <r>
      <t xml:space="preserve">Data </t>
    </r>
    <r>
      <rPr>
        <b/>
        <sz val="11"/>
        <rFont val="Arial"/>
        <family val="0"/>
      </rPr>
      <t>MUST</t>
    </r>
    <r>
      <rPr>
        <sz val="11"/>
        <rFont val="Arial"/>
        <family val="2"/>
      </rPr>
      <t xml:space="preserve"> be arranged with smallest value in lower right cell "D".</t>
    </r>
  </si>
  <si>
    <t>è è</t>
  </si>
  <si>
    <t>A</t>
  </si>
  <si>
    <t>B</t>
  </si>
  <si>
    <t>C</t>
  </si>
  <si>
    <t>D</t>
  </si>
  <si>
    <t>Data Set:</t>
  </si>
  <si>
    <t>Total</t>
  </si>
  <si>
    <r>
      <t xml:space="preserve">To test if q1 </t>
    </r>
    <r>
      <rPr>
        <sz val="11"/>
        <rFont val="Symbol"/>
        <family val="1"/>
      </rPr>
      <t>¹</t>
    </r>
    <r>
      <rPr>
        <sz val="11"/>
        <rFont val="Arial"/>
        <family val="2"/>
      </rPr>
      <t xml:space="preserve"> q2</t>
    </r>
  </si>
  <si>
    <t>Cumulative two-tailed P =</t>
  </si>
  <si>
    <t>To test if q2 &lt; q1</t>
  </si>
  <si>
    <t>Cumulative one-tailed P =</t>
  </si>
  <si>
    <t>D-1</t>
  </si>
  <si>
    <t>D-2</t>
  </si>
  <si>
    <t>D-3</t>
  </si>
  <si>
    <t>D-4</t>
  </si>
  <si>
    <t>D-5</t>
  </si>
  <si>
    <t>D-6</t>
  </si>
  <si>
    <t>D-7</t>
  </si>
  <si>
    <t>D-8</t>
  </si>
  <si>
    <t>D-9</t>
  </si>
  <si>
    <t>D-10</t>
  </si>
  <si>
    <t>D-11</t>
  </si>
  <si>
    <t>D-12</t>
  </si>
  <si>
    <t>D-13</t>
  </si>
  <si>
    <t>D-14</t>
  </si>
  <si>
    <t>D-15</t>
  </si>
  <si>
    <t>CHI-square Test for Proportions</t>
  </si>
  <si>
    <r>
      <t xml:space="preserve">X² = </t>
    </r>
    <r>
      <rPr>
        <sz val="12"/>
        <rFont val="Symbol"/>
        <family val="1"/>
      </rPr>
      <t>S</t>
    </r>
    <r>
      <rPr>
        <sz val="12"/>
        <rFont val="Arial MT"/>
        <family val="0"/>
      </rPr>
      <t>(Observed-Expected)²/Expected</t>
    </r>
  </si>
  <si>
    <t>Enter data values into shaded cells only; all other values will be calculated.</t>
  </si>
  <si>
    <t>You can overwrite the group and outcome names to customize the worksheet.</t>
  </si>
  <si>
    <t>You can overwrite the "Data Set" description to suit your data.</t>
  </si>
  <si>
    <t>Note:</t>
  </si>
  <si>
    <t xml:space="preserve">For a valid test total sample size must be at least 20, </t>
  </si>
  <si>
    <t>and no expected value should be less than 5.</t>
  </si>
  <si>
    <t>Group 2</t>
  </si>
  <si>
    <t>Observed</t>
  </si>
  <si>
    <t>Expected</t>
  </si>
  <si>
    <t>Cell (a) =</t>
  </si>
  <si>
    <t>cell (a)</t>
  </si>
  <si>
    <t>cell (b)</t>
  </si>
  <si>
    <t>Cell (b) =</t>
  </si>
  <si>
    <t>cell (c)</t>
  </si>
  <si>
    <t>cell (d)</t>
  </si>
  <si>
    <t>Cell (c) =</t>
  </si>
  <si>
    <t>Cell (d) =</t>
  </si>
  <si>
    <t>Test Statistic</t>
  </si>
  <si>
    <t>P value</t>
  </si>
  <si>
    <t>X²=</t>
  </si>
  <si>
    <t>2-tailed</t>
  </si>
  <si>
    <t>corrected X²=</t>
  </si>
  <si>
    <t>1-tailed</t>
  </si>
  <si>
    <t>Comments:</t>
  </si>
  <si>
    <t>Corrected values use Yates' correction for continuity.</t>
  </si>
  <si>
    <t>If N &lt; 20 or expected n in any cell &lt; 5, use Fisher's exact test.</t>
  </si>
  <si>
    <t>CHI-square Test for 2 X C table</t>
  </si>
  <si>
    <t xml:space="preserve">Data Set: </t>
  </si>
  <si>
    <t>Group 5</t>
  </si>
  <si>
    <t>Group 6</t>
  </si>
  <si>
    <t>Percentages:</t>
  </si>
  <si>
    <t xml:space="preserve"> </t>
  </si>
  <si>
    <t>Expected:</t>
  </si>
  <si>
    <t>(f-F)²/F</t>
  </si>
  <si>
    <t>X² =</t>
  </si>
  <si>
    <t>degrees of freedom =</t>
  </si>
  <si>
    <t>Group 4</t>
  </si>
  <si>
    <t>X values</t>
  </si>
  <si>
    <t>Y values</t>
  </si>
  <si>
    <t>Analysis of Variance</t>
  </si>
  <si>
    <t>Mean</t>
  </si>
  <si>
    <t>df</t>
  </si>
  <si>
    <t>SS</t>
  </si>
  <si>
    <t>MS</t>
  </si>
  <si>
    <t>F</t>
  </si>
  <si>
    <t>P</t>
  </si>
  <si>
    <t>Regression</t>
  </si>
  <si>
    <t>SEM</t>
  </si>
  <si>
    <t>Residual</t>
  </si>
  <si>
    <t>n</t>
  </si>
  <si>
    <t>95% CL</t>
  </si>
  <si>
    <t>Slope</t>
  </si>
  <si>
    <t>Intercept</t>
  </si>
  <si>
    <t>If x =</t>
  </si>
  <si>
    <t>Then y =</t>
  </si>
  <si>
    <t>r²</t>
  </si>
  <si>
    <t>r</t>
  </si>
  <si>
    <t>sum</t>
  </si>
  <si>
    <t>mean</t>
  </si>
  <si>
    <t>sd</t>
  </si>
  <si>
    <t>sem</t>
  </si>
  <si>
    <t>pooled s²</t>
  </si>
  <si>
    <t>sed</t>
  </si>
  <si>
    <t>difference</t>
  </si>
  <si>
    <t>95%CI</t>
  </si>
  <si>
    <t>Test for homogeneity of variance:</t>
  </si>
  <si>
    <t>F=</t>
  </si>
  <si>
    <t>P=</t>
  </si>
  <si>
    <t>numerator df</t>
  </si>
  <si>
    <t>denominator df</t>
  </si>
  <si>
    <t>t-test is valid if P &gt; 0.05 for F test of homogeneity.</t>
  </si>
  <si>
    <t>Unpaired t-test:</t>
  </si>
  <si>
    <t>Enter data for two groups</t>
  </si>
  <si>
    <t>in the shaded area.</t>
  </si>
  <si>
    <t>The group names can be</t>
  </si>
  <si>
    <t>changed to fit the data (e.g.</t>
  </si>
  <si>
    <t xml:space="preserve">control &amp; treated, male &amp; </t>
  </si>
  <si>
    <t>female, whatever).</t>
  </si>
  <si>
    <t>Statistical calculations are</t>
  </si>
  <si>
    <t>updated with each new data</t>
  </si>
  <si>
    <t>entry. Don't for get to hit</t>
  </si>
  <si>
    <t xml:space="preserve">"enter" after typing in the </t>
  </si>
  <si>
    <t>last one.</t>
  </si>
  <si>
    <t>Erase old data with the</t>
  </si>
  <si>
    <t>"Clear Data" button.</t>
  </si>
  <si>
    <t>Enter Group Names</t>
  </si>
  <si>
    <t>Enter Means</t>
  </si>
  <si>
    <t>Enter N's</t>
  </si>
  <si>
    <t>Enter SD's</t>
  </si>
  <si>
    <t>OR Enter SEM's</t>
  </si>
  <si>
    <t>new case.</t>
  </si>
  <si>
    <t>to check the calculations.</t>
  </si>
  <si>
    <t>Use "Clear Data" for a</t>
  </si>
  <si>
    <t>"Test" enters test data</t>
  </si>
  <si>
    <t>For test data:</t>
  </si>
  <si>
    <t>means=</t>
  </si>
  <si>
    <t>sums=</t>
  </si>
  <si>
    <t>sed=</t>
  </si>
  <si>
    <t>t=</t>
  </si>
  <si>
    <r>
      <t>Enter up to 100 values for X and Y:</t>
    </r>
    <r>
      <rPr>
        <sz val="11"/>
        <rFont val="Arial"/>
        <family val="0"/>
      </rPr>
      <t xml:space="preserve"> (don't forget to hit "enter" after last data point)</t>
    </r>
  </si>
  <si>
    <t>initial wt.</t>
  </si>
  <si>
    <t>weight gain</t>
  </si>
  <si>
    <t>Test Data should yield the following results:</t>
  </si>
  <si>
    <t>D-16</t>
  </si>
  <si>
    <t>D-17</t>
  </si>
  <si>
    <t>D-18</t>
  </si>
  <si>
    <t>D-19</t>
  </si>
  <si>
    <t>D-20</t>
  </si>
  <si>
    <t>D-21</t>
  </si>
  <si>
    <t>D-22</t>
  </si>
  <si>
    <t>D-23</t>
  </si>
  <si>
    <t>D-24</t>
  </si>
  <si>
    <t>D-25</t>
  </si>
  <si>
    <t>end of data</t>
  </si>
  <si>
    <t>One Way Analysis of Variance</t>
  </si>
  <si>
    <t>Group 1</t>
  </si>
  <si>
    <t>Group 3</t>
  </si>
  <si>
    <t>Group 7</t>
  </si>
  <si>
    <t>Group 8</t>
  </si>
  <si>
    <t>group</t>
  </si>
  <si>
    <t>variance</t>
  </si>
  <si>
    <t>ANOVA</t>
  </si>
  <si>
    <t>Snedecor &amp; Cochran doughnut data</t>
  </si>
  <si>
    <t>Source of Variation</t>
  </si>
  <si>
    <t>Between Groups</t>
  </si>
  <si>
    <t>Within Groups</t>
  </si>
  <si>
    <t>mean squares</t>
  </si>
  <si>
    <r>
      <t>S</t>
    </r>
    <r>
      <rPr>
        <sz val="10"/>
        <rFont val="Arial"/>
        <family val="0"/>
      </rPr>
      <t xml:space="preserve"> x²</t>
    </r>
  </si>
  <si>
    <t>F =</t>
  </si>
  <si>
    <t>P =</t>
  </si>
  <si>
    <t>P&lt;0.05 for any difference between means greater than:</t>
  </si>
  <si>
    <t>group 1</t>
  </si>
  <si>
    <t>group 2</t>
  </si>
  <si>
    <t>group 3</t>
  </si>
  <si>
    <t>group 4</t>
  </si>
  <si>
    <t>group 5</t>
  </si>
  <si>
    <t>group 6</t>
  </si>
  <si>
    <t>group 7</t>
  </si>
  <si>
    <t>group 8</t>
  </si>
  <si>
    <t>deviations from overall average for Levene's test of homogeneity of variance</t>
  </si>
  <si>
    <t>Levene's test for homogeneity of variance:</t>
  </si>
  <si>
    <t>The assumption of equal variance among groups</t>
  </si>
  <si>
    <t>Test data should</t>
  </si>
  <si>
    <t>give P = 0.09238</t>
  </si>
  <si>
    <t>for both 2-tailed</t>
  </si>
  <si>
    <t>and 1-tailed tests.</t>
  </si>
  <si>
    <t>Test data should give:</t>
  </si>
  <si>
    <t>% dead in non-smokers = 11.0%</t>
  </si>
  <si>
    <t>% dead in pipe smokers = 13.4%</t>
  </si>
  <si>
    <t>X² = 1.728; P=0.1886</t>
  </si>
  <si>
    <t>2-tailed corrected X² =1.632</t>
  </si>
  <si>
    <t>P= 0.2015</t>
  </si>
  <si>
    <t>1-tailed corrected X² =1.497</t>
  </si>
  <si>
    <t>P= 0.1106</t>
  </si>
  <si>
    <t>d.f. =</t>
  </si>
  <si>
    <t>S x²</t>
  </si>
  <si>
    <t>is met</t>
  </si>
  <si>
    <t>Test Data should give the results below:</t>
  </si>
  <si>
    <r>
      <t xml:space="preserve">Scroll to right to see ANOVA table </t>
    </r>
    <r>
      <rPr>
        <b/>
        <sz val="10"/>
        <rFont val="Symbol"/>
        <family val="1"/>
      </rPr>
      <t>®</t>
    </r>
  </si>
  <si>
    <r>
      <t xml:space="preserve">For up to 8 groups of n </t>
    </r>
    <r>
      <rPr>
        <sz val="10"/>
        <rFont val="Symbol"/>
        <family val="1"/>
      </rPr>
      <t>£</t>
    </r>
    <r>
      <rPr>
        <sz val="10"/>
        <rFont val="Arial"/>
        <family val="0"/>
      </rPr>
      <t xml:space="preserve"> 100 each.  Don't forget to hit "Enter" after last data entry</t>
    </r>
  </si>
  <si>
    <t>See below</t>
  </si>
  <si>
    <t>for expected</t>
  </si>
  <si>
    <t>test data</t>
  </si>
  <si>
    <r>
      <t xml:space="preserve">results </t>
    </r>
    <r>
      <rPr>
        <sz val="10"/>
        <rFont val="Symbol"/>
        <family val="1"/>
      </rPr>
      <t>¯</t>
    </r>
  </si>
  <si>
    <r>
      <t xml:space="preserve">Expected test data </t>
    </r>
    <r>
      <rPr>
        <sz val="10"/>
        <rFont val="Symbol"/>
        <family val="1"/>
      </rPr>
      <t>¯</t>
    </r>
  </si>
  <si>
    <t>Use this test to analyze differences in frequencies among several groups. If P &lt; 0.05 overall,</t>
  </si>
  <si>
    <t>then use Fisher's exact test for pairwise comparisons between particular groups.</t>
  </si>
  <si>
    <r>
      <t xml:space="preserve">X² = </t>
    </r>
    <r>
      <rPr>
        <sz val="12"/>
        <rFont val="Symbol"/>
        <family val="1"/>
      </rPr>
      <t>S</t>
    </r>
    <r>
      <rPr>
        <sz val="12"/>
        <rFont val="Arial"/>
        <family val="2"/>
      </rPr>
      <t>(Observed-Expected)²/Expected</t>
    </r>
  </si>
  <si>
    <t>Test data should give SED = 10.045, t = 1.8914, 1-tail P = 0.0379, 2-tail P = 0.0757</t>
  </si>
  <si>
    <t>To use the spreadsheets in this work book the data analysis "add-in" formulas must be made available. To do this, click on "Tools" then on "Add-ins".  In the pop-up window that follows there need to be check marks next to "Analysis ToolPak" and next to "Update Add-in Links". If the check boxes for these are empty, simply click on them to activate the check box.</t>
  </si>
  <si>
    <t>The worksheets are protected so that data can be entered only into specified data entry cells and formulas cannot be overwritten.</t>
  </si>
  <si>
    <t>This set of simple statistical tests was put together by Mark Vogel using the standard statistical formulas available in Excel.  Calculations except for Fishers Exact Test are from Snedecor and Cochrane.</t>
  </si>
  <si>
    <t>Click on the tabs along the bottom to bring up the sheet  with the desired test. There are simple instructions and sample test data for each test.</t>
  </si>
  <si>
    <t>hyperplasia</t>
  </si>
  <si>
    <t>normal</t>
  </si>
  <si>
    <t>control</t>
  </si>
  <si>
    <t>5 mg/mL</t>
  </si>
  <si>
    <t>Thyroid follicular hyperplasia in female mice</t>
  </si>
  <si>
    <t>enter name</t>
  </si>
  <si>
    <t>Heart Rate Day 2 Predose</t>
  </si>
  <si>
    <t>0 mg/kg</t>
  </si>
  <si>
    <t>0.04 mg/kg</t>
  </si>
  <si>
    <t>0.12 mg/kg</t>
  </si>
  <si>
    <t>0.57 mg/kg</t>
  </si>
  <si>
    <t>Enter new title here</t>
  </si>
  <si>
    <t>No Lymphoma</t>
  </si>
  <si>
    <t>Lymphoma</t>
  </si>
  <si>
    <t>lymphoma</t>
  </si>
  <si>
    <t>Eplerenone Lymphomas</t>
  </si>
  <si>
    <t>Control</t>
  </si>
  <si>
    <t>Tween</t>
  </si>
  <si>
    <t>w hyperplasia</t>
  </si>
  <si>
    <t>w/o hyperplasia</t>
  </si>
  <si>
    <t>Mock Lymphoma Data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</si>
</sst>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0"/>
    <numFmt numFmtId="166" formatCode="0.000000"/>
    <numFmt numFmtId="167" formatCode="0.0_)"/>
    <numFmt numFmtId="168" formatCode="0.0000_)"/>
    <numFmt numFmtId="169" formatCode="0.000_)"/>
    <numFmt numFmtId="170" formatCode="0E+00_)"/>
    <numFmt numFmtId="171" formatCode="0.0"/>
    <numFmt numFmtId="172" formatCode="0.000"/>
    <numFmt numFmtId="173" formatCode="0.0%"/>
    <numFmt numFmtId="174" formatCode="0.00000"/>
    <numFmt numFmtId="175" formatCode="0.00_)"/>
    <numFmt numFmtId="176" formatCode="General_)"/>
    <numFmt numFmtId="177" formatCode="0.000000000000"/>
    <numFmt numFmtId="178" formatCode="0.0000000E+00"/>
  </numFmts>
  <fonts count="39">
    <font>
      <sz val="10"/>
      <name val="Arial"/>
      <family val="0"/>
    </font>
    <font>
      <b/>
      <sz val="10"/>
      <name val="Arial"/>
      <family val="0"/>
    </font>
    <font>
      <i/>
      <sz val="10"/>
      <name val="Arial"/>
      <family val="0"/>
    </font>
    <font>
      <b/>
      <i/>
      <sz val="10"/>
      <name val="Arial"/>
      <family val="0"/>
    </font>
    <font>
      <sz val="10"/>
      <name val="Courier"/>
      <family val="0"/>
    </font>
    <font>
      <b/>
      <sz val="11"/>
      <name val="Arial"/>
      <family val="2"/>
    </font>
    <font>
      <sz val="11"/>
      <name val="Arial"/>
      <family val="2"/>
    </font>
    <font>
      <sz val="8"/>
      <name val="Arial"/>
      <family val="2"/>
    </font>
    <font>
      <sz val="11"/>
      <name val="Wingdings"/>
      <family val="0"/>
    </font>
    <font>
      <sz val="11"/>
      <name val="Courier"/>
      <family val="0"/>
    </font>
    <font>
      <b/>
      <sz val="11"/>
      <color indexed="9"/>
      <name val="Arial"/>
      <family val="2"/>
    </font>
    <font>
      <sz val="8"/>
      <name val="Courier"/>
      <family val="0"/>
    </font>
    <font>
      <sz val="11"/>
      <color indexed="8"/>
      <name val="Arial"/>
      <family val="2"/>
    </font>
    <font>
      <sz val="8"/>
      <color indexed="9"/>
      <name val="Arial"/>
      <family val="2"/>
    </font>
    <font>
      <sz val="11"/>
      <name val="Symbol"/>
      <family val="1"/>
    </font>
    <font>
      <sz val="10"/>
      <color indexed="8"/>
      <name val="Arial"/>
      <family val="2"/>
    </font>
    <font>
      <sz val="12"/>
      <name val="Arial MT"/>
      <family val="0"/>
    </font>
    <font>
      <b/>
      <sz val="12"/>
      <name val="Arial MT"/>
      <family val="0"/>
    </font>
    <font>
      <sz val="12"/>
      <name val="Symbol"/>
      <family val="1"/>
    </font>
    <font>
      <i/>
      <sz val="12"/>
      <name val="Arial MT"/>
      <family val="0"/>
    </font>
    <font>
      <sz val="12"/>
      <color indexed="9"/>
      <name val="Arial MT"/>
      <family val="0"/>
    </font>
    <font>
      <sz val="12"/>
      <name val="Arial Narrow"/>
      <family val="2"/>
    </font>
    <font>
      <sz val="10"/>
      <color indexed="12"/>
      <name val="Courier"/>
      <family val="0"/>
    </font>
    <font>
      <sz val="10"/>
      <color indexed="12"/>
      <name val="Arial"/>
      <family val="2"/>
    </font>
    <font>
      <sz val="11.5"/>
      <name val="Arial"/>
      <family val="0"/>
    </font>
    <font>
      <sz val="12"/>
      <name val="Arial"/>
      <family val="2"/>
    </font>
    <font>
      <b/>
      <sz val="12"/>
      <name val="Arial"/>
      <family val="2"/>
    </font>
    <font>
      <b/>
      <sz val="12"/>
      <name val="Arial Narrow"/>
      <family val="2"/>
    </font>
    <font>
      <sz val="11"/>
      <name val="Arial Narrow"/>
      <family val="2"/>
    </font>
    <font>
      <b/>
      <sz val="10.25"/>
      <name val="Arial"/>
      <family val="0"/>
    </font>
    <font>
      <sz val="10"/>
      <name val="Symbol"/>
      <family val="1"/>
    </font>
    <font>
      <sz val="10"/>
      <name val="Arial MT"/>
      <family val="0"/>
    </font>
    <font>
      <u val="single"/>
      <sz val="12"/>
      <name val="Arial MT"/>
      <family val="0"/>
    </font>
    <font>
      <sz val="12"/>
      <color indexed="9"/>
      <name val="Arial"/>
      <family val="2"/>
    </font>
    <font>
      <u val="single"/>
      <sz val="12"/>
      <name val="Arial"/>
      <family val="2"/>
    </font>
    <font>
      <b/>
      <sz val="10"/>
      <name val="Symbol"/>
      <family val="1"/>
    </font>
    <font>
      <b/>
      <sz val="8"/>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8"/>
        <bgColor indexed="64"/>
      </patternFill>
    </fill>
    <fill>
      <patternFill patternType="solid">
        <fgColor indexed="47"/>
        <bgColor indexed="64"/>
      </patternFill>
    </fill>
  </fills>
  <borders count="24">
    <border>
      <left/>
      <right/>
      <top/>
      <bottom/>
      <diagonal/>
    </border>
    <border>
      <left style="thin"/>
      <right style="thin"/>
      <top style="thin"/>
      <bottom style="thin"/>
    </border>
    <border>
      <left style="thin"/>
      <right style="thin"/>
      <top style="thin"/>
      <bottom style="double"/>
    </border>
    <border>
      <left style="thin">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medium"/>
    </border>
    <border>
      <left style="thin"/>
      <right>
        <color indexed="63"/>
      </right>
      <top style="thin"/>
      <bottom style="medium"/>
    </border>
    <border>
      <left style="thin">
        <color indexed="8"/>
      </left>
      <right>
        <color indexed="63"/>
      </right>
      <top>
        <color indexed="63"/>
      </top>
      <bottom style="double">
        <color indexed="8"/>
      </bottom>
    </border>
    <border>
      <left style="thin"/>
      <right>
        <color indexed="63"/>
      </right>
      <top>
        <color indexed="63"/>
      </top>
      <bottom style="double"/>
    </border>
    <border>
      <left>
        <color indexed="63"/>
      </left>
      <right>
        <color indexed="63"/>
      </right>
      <top style="double"/>
      <bottom style="thin"/>
    </border>
    <border>
      <left style="thin"/>
      <right style="thin"/>
      <top>
        <color indexed="63"/>
      </top>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16" fillId="0" borderId="0">
      <alignment/>
      <protection/>
    </xf>
    <xf numFmtId="0" fontId="16" fillId="0" borderId="0">
      <alignment/>
      <protection/>
    </xf>
    <xf numFmtId="0" fontId="4" fillId="0" borderId="0">
      <alignment/>
      <protection/>
    </xf>
    <xf numFmtId="176" fontId="4" fillId="0" borderId="0">
      <alignment/>
      <protection/>
    </xf>
    <xf numFmtId="9" fontId="0" fillId="0" borderId="0" applyFont="0" applyFill="0" applyBorder="0" applyAlignment="0" applyProtection="0"/>
  </cellStyleXfs>
  <cellXfs count="244">
    <xf numFmtId="0" fontId="0" fillId="0" borderId="0" xfId="0" applyAlignment="1">
      <alignment/>
    </xf>
    <xf numFmtId="0" fontId="5" fillId="0" borderId="0" xfId="23" applyFont="1" applyAlignment="1" applyProtection="1">
      <alignment horizontal="left" vertical="center"/>
      <protection/>
    </xf>
    <xf numFmtId="0" fontId="6" fillId="0" borderId="0" xfId="23" applyFont="1" applyAlignment="1" applyProtection="1">
      <alignment vertical="center"/>
      <protection/>
    </xf>
    <xf numFmtId="0" fontId="4" fillId="0" borderId="0" xfId="23">
      <alignment/>
      <protection/>
    </xf>
    <xf numFmtId="0" fontId="6" fillId="0" borderId="0" xfId="23" applyFont="1" applyAlignment="1" applyProtection="1">
      <alignment horizontal="left" vertical="center"/>
      <protection/>
    </xf>
    <xf numFmtId="0" fontId="0" fillId="0" borderId="0" xfId="23" applyFont="1" applyAlignment="1">
      <alignment vertical="center"/>
      <protection/>
    </xf>
    <xf numFmtId="0" fontId="7" fillId="0" borderId="0" xfId="23" applyFont="1">
      <alignment/>
      <protection/>
    </xf>
    <xf numFmtId="0" fontId="7" fillId="0" borderId="0" xfId="23" applyFont="1" applyAlignment="1" applyProtection="1">
      <alignment horizontal="left" vertical="center"/>
      <protection/>
    </xf>
    <xf numFmtId="0" fontId="7" fillId="0" borderId="0" xfId="23" applyFont="1" applyAlignment="1" applyProtection="1">
      <alignment vertical="center"/>
      <protection/>
    </xf>
    <xf numFmtId="0" fontId="7" fillId="0" borderId="0" xfId="23" applyFont="1" applyAlignment="1">
      <alignment vertical="center"/>
      <protection/>
    </xf>
    <xf numFmtId="0" fontId="0" fillId="0" borderId="0" xfId="23" applyFont="1">
      <alignment/>
      <protection/>
    </xf>
    <xf numFmtId="0" fontId="8" fillId="0" borderId="0" xfId="23" applyFont="1" applyAlignment="1" applyProtection="1">
      <alignment vertical="center"/>
      <protection/>
    </xf>
    <xf numFmtId="0" fontId="6" fillId="0" borderId="1" xfId="23" applyFont="1" applyBorder="1" applyAlignment="1" applyProtection="1">
      <alignment horizontal="center" vertical="center"/>
      <protection/>
    </xf>
    <xf numFmtId="165" fontId="0" fillId="0" borderId="0" xfId="23" applyNumberFormat="1" applyFont="1" applyAlignment="1">
      <alignment vertical="center"/>
      <protection/>
    </xf>
    <xf numFmtId="0" fontId="9" fillId="0" borderId="0" xfId="23" applyFont="1" applyAlignment="1" applyProtection="1">
      <alignment vertical="center"/>
      <protection/>
    </xf>
    <xf numFmtId="0" fontId="10" fillId="2" borderId="1" xfId="23" applyFont="1" applyFill="1" applyBorder="1" applyAlignment="1" applyProtection="1">
      <alignment horizontal="center" vertical="center"/>
      <protection/>
    </xf>
    <xf numFmtId="0" fontId="11" fillId="0" borderId="0" xfId="23" applyFont="1">
      <alignment/>
      <protection/>
    </xf>
    <xf numFmtId="0" fontId="6" fillId="0" borderId="2" xfId="23" applyFont="1" applyBorder="1" applyAlignment="1" applyProtection="1">
      <alignment vertical="center"/>
      <protection/>
    </xf>
    <xf numFmtId="0" fontId="12" fillId="0" borderId="2" xfId="23" applyFont="1" applyBorder="1" applyAlignment="1" applyProtection="1">
      <alignment horizontal="right" vertical="center"/>
      <protection/>
    </xf>
    <xf numFmtId="0" fontId="12" fillId="0" borderId="1" xfId="23" applyFont="1" applyBorder="1" applyAlignment="1" applyProtection="1">
      <alignment vertical="center"/>
      <protection/>
    </xf>
    <xf numFmtId="0" fontId="12" fillId="0" borderId="2" xfId="23" applyFont="1" applyBorder="1" applyAlignment="1" applyProtection="1">
      <alignment vertical="center"/>
      <protection/>
    </xf>
    <xf numFmtId="0" fontId="6" fillId="0" borderId="0" xfId="23" applyFont="1" applyAlignment="1" applyProtection="1">
      <alignment horizontal="right" vertical="center"/>
      <protection/>
    </xf>
    <xf numFmtId="0" fontId="13" fillId="0" borderId="0" xfId="23" applyFont="1" applyAlignment="1" applyProtection="1">
      <alignment vertical="center"/>
      <protection hidden="1"/>
    </xf>
    <xf numFmtId="0" fontId="12" fillId="0" borderId="1" xfId="23" applyFont="1" applyBorder="1" applyAlignment="1" applyProtection="1">
      <alignment horizontal="right" vertical="center"/>
      <protection/>
    </xf>
    <xf numFmtId="0" fontId="5" fillId="0" borderId="0" xfId="23" applyFont="1" applyAlignment="1" applyProtection="1">
      <alignment vertical="center"/>
      <protection hidden="1"/>
    </xf>
    <xf numFmtId="0" fontId="7" fillId="0" borderId="0" xfId="23" applyFont="1" applyAlignment="1" applyProtection="1">
      <alignment horizontal="right" vertical="center"/>
      <protection/>
    </xf>
    <xf numFmtId="0" fontId="11" fillId="0" borderId="0" xfId="23" applyFont="1" applyProtection="1">
      <alignment/>
      <protection/>
    </xf>
    <xf numFmtId="0" fontId="9" fillId="0" borderId="0" xfId="23" applyFont="1">
      <alignment/>
      <protection/>
    </xf>
    <xf numFmtId="0" fontId="6" fillId="0" borderId="0" xfId="23" applyFont="1" applyAlignment="1">
      <alignment horizontal="right"/>
      <protection/>
    </xf>
    <xf numFmtId="164" fontId="12" fillId="0" borderId="0" xfId="23" applyNumberFormat="1" applyFont="1" applyAlignment="1" applyProtection="1">
      <alignment horizontal="left" vertical="center"/>
      <protection/>
    </xf>
    <xf numFmtId="0" fontId="12" fillId="0" borderId="0" xfId="23" applyFont="1" applyAlignment="1" applyProtection="1">
      <alignment horizontal="right" vertical="center"/>
      <protection/>
    </xf>
    <xf numFmtId="166" fontId="12" fillId="0" borderId="0" xfId="23" applyNumberFormat="1" applyFont="1" applyAlignment="1" applyProtection="1">
      <alignment horizontal="left" vertical="center"/>
      <protection/>
    </xf>
    <xf numFmtId="0" fontId="0" fillId="0" borderId="0" xfId="23" applyFont="1" applyAlignment="1" applyProtection="1">
      <alignment vertical="center"/>
      <protection/>
    </xf>
    <xf numFmtId="0" fontId="15" fillId="0" borderId="0" xfId="23" applyFont="1" applyAlignment="1" applyProtection="1">
      <alignment horizontal="fill" vertical="center"/>
      <protection/>
    </xf>
    <xf numFmtId="0" fontId="0" fillId="0" borderId="0" xfId="23" applyFont="1" applyProtection="1">
      <alignment/>
      <protection/>
    </xf>
    <xf numFmtId="0" fontId="15" fillId="0" borderId="0" xfId="23" applyFont="1" applyProtection="1">
      <alignment/>
      <protection/>
    </xf>
    <xf numFmtId="0" fontId="0" fillId="0" borderId="0" xfId="23" applyFont="1" applyAlignment="1" applyProtection="1">
      <alignment horizontal="right"/>
      <protection/>
    </xf>
    <xf numFmtId="0" fontId="0" fillId="0" borderId="0" xfId="23" applyFont="1" applyAlignment="1" applyProtection="1">
      <alignment horizontal="left"/>
      <protection/>
    </xf>
    <xf numFmtId="0" fontId="15" fillId="0" borderId="1" xfId="23" applyFont="1" applyFill="1" applyBorder="1" applyProtection="1">
      <alignment/>
      <protection/>
    </xf>
    <xf numFmtId="166" fontId="0" fillId="0" borderId="0" xfId="23" applyNumberFormat="1" applyFont="1" applyProtection="1">
      <alignment/>
      <protection/>
    </xf>
    <xf numFmtId="0" fontId="0" fillId="0" borderId="0" xfId="23" applyFont="1" applyAlignment="1" applyProtection="1">
      <alignment horizontal="fill"/>
      <protection/>
    </xf>
    <xf numFmtId="0" fontId="17" fillId="0" borderId="0" xfId="22" applyFont="1">
      <alignment/>
      <protection/>
    </xf>
    <xf numFmtId="0" fontId="16" fillId="0" borderId="0" xfId="22">
      <alignment/>
      <protection/>
    </xf>
    <xf numFmtId="0" fontId="19" fillId="0" borderId="0" xfId="22" applyFont="1">
      <alignment/>
      <protection/>
    </xf>
    <xf numFmtId="0" fontId="16" fillId="0" borderId="3" xfId="22" applyBorder="1">
      <alignment/>
      <protection/>
    </xf>
    <xf numFmtId="0" fontId="16" fillId="0" borderId="4" xfId="22" applyBorder="1" applyAlignment="1">
      <alignment horizontal="right"/>
      <protection/>
    </xf>
    <xf numFmtId="0" fontId="16" fillId="0" borderId="5" xfId="22" applyBorder="1">
      <alignment/>
      <protection/>
    </xf>
    <xf numFmtId="0" fontId="16" fillId="0" borderId="6" xfId="22" applyBorder="1">
      <alignment/>
      <protection/>
    </xf>
    <xf numFmtId="0" fontId="16" fillId="0" borderId="7" xfId="22" applyBorder="1">
      <alignment/>
      <protection/>
    </xf>
    <xf numFmtId="0" fontId="17" fillId="0" borderId="0" xfId="22" applyFont="1" applyProtection="1">
      <alignment/>
      <protection hidden="1"/>
    </xf>
    <xf numFmtId="0" fontId="16" fillId="0" borderId="8" xfId="22" applyBorder="1" applyAlignment="1">
      <alignment horizontal="right"/>
      <protection/>
    </xf>
    <xf numFmtId="0" fontId="16" fillId="0" borderId="0" xfId="22" applyAlignment="1">
      <alignment horizontal="right"/>
      <protection/>
    </xf>
    <xf numFmtId="0" fontId="16" fillId="0" borderId="0" xfId="22" applyAlignment="1">
      <alignment/>
      <protection/>
    </xf>
    <xf numFmtId="167" fontId="16" fillId="0" borderId="0" xfId="22" applyNumberFormat="1" applyProtection="1">
      <alignment/>
      <protection/>
    </xf>
    <xf numFmtId="171" fontId="20" fillId="0" borderId="0" xfId="22" applyNumberFormat="1" applyFont="1">
      <alignment/>
      <protection/>
    </xf>
    <xf numFmtId="0" fontId="16" fillId="0" borderId="9" xfId="22" applyBorder="1" applyAlignment="1">
      <alignment horizontal="center"/>
      <protection/>
    </xf>
    <xf numFmtId="164" fontId="20" fillId="0" borderId="0" xfId="22" applyNumberFormat="1" applyFont="1">
      <alignment/>
      <protection/>
    </xf>
    <xf numFmtId="0" fontId="20" fillId="0" borderId="0" xfId="22" applyFont="1">
      <alignment/>
      <protection/>
    </xf>
    <xf numFmtId="172" fontId="16" fillId="0" borderId="0" xfId="22" applyNumberFormat="1" applyProtection="1">
      <alignment/>
      <protection/>
    </xf>
    <xf numFmtId="164" fontId="16" fillId="0" borderId="0" xfId="22" applyNumberFormat="1">
      <alignment/>
      <protection/>
    </xf>
    <xf numFmtId="2" fontId="16" fillId="0" borderId="0" xfId="22" applyNumberFormat="1" applyProtection="1">
      <alignment/>
      <protection/>
    </xf>
    <xf numFmtId="172" fontId="16" fillId="0" borderId="0" xfId="22" applyNumberFormat="1">
      <alignment/>
      <protection/>
    </xf>
    <xf numFmtId="0" fontId="5" fillId="0" borderId="0" xfId="23" applyFont="1" applyAlignment="1" applyProtection="1">
      <alignment horizontal="right" vertical="center"/>
      <protection/>
    </xf>
    <xf numFmtId="0" fontId="21" fillId="0" borderId="10" xfId="0" applyFont="1" applyBorder="1" applyAlignment="1">
      <alignment/>
    </xf>
    <xf numFmtId="0" fontId="21" fillId="0" borderId="10" xfId="0" applyFont="1" applyBorder="1" applyAlignment="1">
      <alignment horizontal="center"/>
    </xf>
    <xf numFmtId="176" fontId="4" fillId="0" borderId="0" xfId="24" applyAlignment="1" applyProtection="1">
      <alignment horizontal="left"/>
      <protection/>
    </xf>
    <xf numFmtId="176" fontId="4" fillId="0" borderId="0" xfId="24">
      <alignment/>
      <protection/>
    </xf>
    <xf numFmtId="176" fontId="22" fillId="0" borderId="0" xfId="24" applyFont="1" applyProtection="1">
      <alignment/>
      <protection locked="0"/>
    </xf>
    <xf numFmtId="176" fontId="1" fillId="0" borderId="0" xfId="24" applyFont="1" applyAlignment="1" applyProtection="1">
      <alignment horizontal="left"/>
      <protection/>
    </xf>
    <xf numFmtId="176" fontId="4" fillId="0" borderId="0" xfId="24" applyAlignment="1" applyProtection="1">
      <alignment horizontal="fill"/>
      <protection/>
    </xf>
    <xf numFmtId="176" fontId="0" fillId="0" borderId="0" xfId="24" applyFont="1">
      <alignment/>
      <protection/>
    </xf>
    <xf numFmtId="176" fontId="0" fillId="0" borderId="0" xfId="24" applyFont="1" applyAlignment="1" applyProtection="1">
      <alignment horizontal="right"/>
      <protection/>
    </xf>
    <xf numFmtId="175" fontId="0" fillId="0" borderId="0" xfId="24" applyNumberFormat="1" applyFont="1" applyProtection="1">
      <alignment/>
      <protection/>
    </xf>
    <xf numFmtId="2" fontId="0" fillId="0" borderId="0" xfId="24" applyNumberFormat="1" applyFont="1" applyProtection="1">
      <alignment/>
      <protection/>
    </xf>
    <xf numFmtId="2" fontId="0" fillId="0" borderId="0" xfId="24" applyNumberFormat="1" applyFont="1" applyAlignment="1" applyProtection="1">
      <alignment horizontal="centerContinuous"/>
      <protection/>
    </xf>
    <xf numFmtId="2" fontId="4" fillId="0" borderId="0" xfId="24" applyNumberFormat="1" applyAlignment="1">
      <alignment horizontal="centerContinuous"/>
      <protection/>
    </xf>
    <xf numFmtId="176" fontId="0" fillId="0" borderId="0" xfId="24" applyFont="1" applyAlignment="1" applyProtection="1">
      <alignment horizontal="centerContinuous"/>
      <protection/>
    </xf>
    <xf numFmtId="176" fontId="4" fillId="0" borderId="0" xfId="24" applyAlignment="1">
      <alignment horizontal="centerContinuous"/>
      <protection/>
    </xf>
    <xf numFmtId="172" fontId="0" fillId="0" borderId="0" xfId="24" applyNumberFormat="1" applyFont="1" applyAlignment="1" applyProtection="1">
      <alignment horizontal="centerContinuous"/>
      <protection/>
    </xf>
    <xf numFmtId="168" fontId="0" fillId="0" borderId="0" xfId="24" applyNumberFormat="1" applyFont="1" applyAlignment="1" applyProtection="1">
      <alignment horizontal="centerContinuous"/>
      <protection/>
    </xf>
    <xf numFmtId="176" fontId="0" fillId="0" borderId="0" xfId="24" applyFont="1" applyProtection="1">
      <alignment/>
      <protection/>
    </xf>
    <xf numFmtId="176" fontId="0" fillId="0" borderId="0" xfId="24" applyFont="1" applyAlignment="1" applyProtection="1" quotePrefix="1">
      <alignment horizontal="right"/>
      <protection/>
    </xf>
    <xf numFmtId="164" fontId="0" fillId="0" borderId="0" xfId="24" applyNumberFormat="1" applyFont="1" applyAlignment="1" applyProtection="1">
      <alignment horizontal="left"/>
      <protection/>
    </xf>
    <xf numFmtId="176" fontId="0" fillId="0" borderId="0" xfId="24" applyFont="1" applyAlignment="1" applyProtection="1">
      <alignment horizontal="left"/>
      <protection/>
    </xf>
    <xf numFmtId="2" fontId="0" fillId="0" borderId="0" xfId="24" applyNumberFormat="1" applyFont="1" applyAlignment="1" applyProtection="1">
      <alignment horizontal="left"/>
      <protection/>
    </xf>
    <xf numFmtId="167" fontId="0" fillId="0" borderId="0" xfId="24" applyNumberFormat="1" applyFont="1" applyProtection="1">
      <alignment/>
      <protection/>
    </xf>
    <xf numFmtId="176" fontId="4" fillId="0" borderId="0" xfId="24" applyAlignment="1" applyProtection="1">
      <alignment horizontal="right"/>
      <protection/>
    </xf>
    <xf numFmtId="167" fontId="4" fillId="0" borderId="0" xfId="24" applyNumberFormat="1" applyProtection="1">
      <alignment/>
      <protection/>
    </xf>
    <xf numFmtId="176" fontId="4" fillId="0" borderId="0" xfId="24" applyProtection="1">
      <alignment/>
      <protection/>
    </xf>
    <xf numFmtId="168" fontId="4" fillId="0" borderId="0" xfId="24" applyNumberFormat="1" applyProtection="1">
      <alignment/>
      <protection/>
    </xf>
    <xf numFmtId="0" fontId="25" fillId="0" borderId="0" xfId="0" applyFont="1" applyAlignment="1">
      <alignment horizontal="right"/>
    </xf>
    <xf numFmtId="0" fontId="25" fillId="0" borderId="0" xfId="0" applyFont="1" applyAlignment="1">
      <alignment/>
    </xf>
    <xf numFmtId="0" fontId="25" fillId="0" borderId="10" xfId="0" applyFont="1" applyBorder="1" applyAlignment="1">
      <alignment/>
    </xf>
    <xf numFmtId="2" fontId="25" fillId="0" borderId="0" xfId="0" applyNumberFormat="1" applyFont="1" applyAlignment="1">
      <alignment horizontal="center"/>
    </xf>
    <xf numFmtId="172" fontId="25" fillId="0" borderId="0" xfId="0" applyNumberFormat="1" applyFont="1" applyAlignment="1">
      <alignment horizontal="center"/>
    </xf>
    <xf numFmtId="0" fontId="25" fillId="0" borderId="10" xfId="0" applyFont="1" applyBorder="1" applyAlignment="1">
      <alignment horizontal="right"/>
    </xf>
    <xf numFmtId="172" fontId="25" fillId="0" borderId="10" xfId="0" applyNumberFormat="1" applyFont="1" applyBorder="1" applyAlignment="1">
      <alignment horizontal="center"/>
    </xf>
    <xf numFmtId="0" fontId="25" fillId="0" borderId="0" xfId="0" applyFont="1" applyAlignment="1" applyProtection="1">
      <alignment/>
      <protection locked="0"/>
    </xf>
    <xf numFmtId="0" fontId="0" fillId="0" borderId="0" xfId="0" applyFont="1" applyAlignment="1" applyProtection="1">
      <alignment/>
      <protection hidden="1"/>
    </xf>
    <xf numFmtId="0" fontId="25" fillId="0" borderId="0" xfId="0" applyFont="1" applyAlignment="1" applyProtection="1">
      <alignment/>
      <protection hidden="1"/>
    </xf>
    <xf numFmtId="0" fontId="25" fillId="0" borderId="0" xfId="0" applyNumberFormat="1" applyFont="1" applyAlignment="1">
      <alignment horizontal="center"/>
    </xf>
    <xf numFmtId="0" fontId="27" fillId="0" borderId="11" xfId="0" applyFont="1" applyBorder="1" applyAlignment="1">
      <alignment/>
    </xf>
    <xf numFmtId="176" fontId="0" fillId="0" borderId="0" xfId="24" applyFont="1" applyAlignment="1">
      <alignment horizontal="right"/>
      <protection/>
    </xf>
    <xf numFmtId="0" fontId="6" fillId="0" borderId="0" xfId="0" applyFont="1" applyAlignment="1">
      <alignment/>
    </xf>
    <xf numFmtId="0" fontId="6" fillId="0" borderId="10" xfId="0" applyFont="1" applyBorder="1" applyAlignment="1">
      <alignment/>
    </xf>
    <xf numFmtId="0" fontId="28" fillId="0" borderId="0" xfId="0" applyFont="1" applyAlignment="1">
      <alignment/>
    </xf>
    <xf numFmtId="0" fontId="5" fillId="0" borderId="10" xfId="0" applyFont="1" applyBorder="1" applyAlignment="1">
      <alignment vertical="center"/>
    </xf>
    <xf numFmtId="0" fontId="6" fillId="0" borderId="10" xfId="0" applyFont="1" applyBorder="1" applyAlignment="1">
      <alignment vertical="center"/>
    </xf>
    <xf numFmtId="0" fontId="6" fillId="0" borderId="10" xfId="0" applyFont="1" applyBorder="1" applyAlignment="1">
      <alignment horizontal="right" vertical="center"/>
    </xf>
    <xf numFmtId="0" fontId="6" fillId="0" borderId="0" xfId="0" applyFont="1" applyAlignment="1">
      <alignment vertical="center"/>
    </xf>
    <xf numFmtId="0" fontId="28" fillId="0" borderId="10" xfId="0" applyFont="1" applyBorder="1" applyAlignment="1">
      <alignment horizontal="right" vertical="center"/>
    </xf>
    <xf numFmtId="0" fontId="28" fillId="0" borderId="12" xfId="0" applyFont="1" applyBorder="1" applyAlignment="1">
      <alignment vertical="center"/>
    </xf>
    <xf numFmtId="0" fontId="6" fillId="0" borderId="12" xfId="0" applyFont="1" applyBorder="1" applyAlignment="1">
      <alignment vertical="center"/>
    </xf>
    <xf numFmtId="0" fontId="28" fillId="0" borderId="0" xfId="0" applyFont="1" applyAlignment="1">
      <alignment horizontal="right" vertical="center"/>
    </xf>
    <xf numFmtId="0" fontId="28" fillId="0" borderId="10" xfId="0" applyFont="1" applyBorder="1" applyAlignment="1">
      <alignment horizontal="center" vertical="center"/>
    </xf>
    <xf numFmtId="0" fontId="6" fillId="0" borderId="10" xfId="0" applyFont="1" applyBorder="1" applyAlignment="1">
      <alignment horizontal="center" vertical="center"/>
    </xf>
    <xf numFmtId="0" fontId="28" fillId="0" borderId="0" xfId="0" applyFont="1" applyAlignment="1">
      <alignment vertical="center"/>
    </xf>
    <xf numFmtId="0" fontId="28" fillId="0" borderId="0" xfId="0" applyFont="1" applyAlignment="1">
      <alignment horizontal="center" vertical="center"/>
    </xf>
    <xf numFmtId="0" fontId="28" fillId="0" borderId="0" xfId="0" applyNumberFormat="1" applyFont="1" applyAlignment="1">
      <alignment vertical="center"/>
    </xf>
    <xf numFmtId="0" fontId="28" fillId="0" borderId="10" xfId="0" applyFont="1" applyBorder="1" applyAlignment="1">
      <alignment vertical="center"/>
    </xf>
    <xf numFmtId="0" fontId="28" fillId="0" borderId="10" xfId="0" applyNumberFormat="1" applyFont="1" applyBorder="1" applyAlignment="1">
      <alignment vertical="center"/>
    </xf>
    <xf numFmtId="0" fontId="6" fillId="0" borderId="0" xfId="0" applyFont="1" applyAlignment="1">
      <alignment horizontal="right" vertical="center"/>
    </xf>
    <xf numFmtId="172" fontId="6" fillId="0" borderId="0" xfId="0" applyNumberFormat="1" applyFont="1" applyAlignment="1">
      <alignment vertical="center"/>
    </xf>
    <xf numFmtId="172" fontId="6" fillId="0" borderId="10" xfId="0" applyNumberFormat="1" applyFont="1" applyBorder="1" applyAlignment="1">
      <alignment vertical="center"/>
    </xf>
    <xf numFmtId="172" fontId="6" fillId="0" borderId="0" xfId="0" applyNumberFormat="1" applyFont="1" applyAlignment="1">
      <alignment vertical="center"/>
    </xf>
    <xf numFmtId="172" fontId="6" fillId="0" borderId="10" xfId="0" applyNumberFormat="1" applyFont="1" applyBorder="1" applyAlignment="1">
      <alignment vertical="center"/>
    </xf>
    <xf numFmtId="0" fontId="6" fillId="0" borderId="0" xfId="0" applyFont="1" applyBorder="1" applyAlignment="1">
      <alignment/>
    </xf>
    <xf numFmtId="166" fontId="6" fillId="0" borderId="0" xfId="23" applyNumberFormat="1" applyFont="1" applyAlignment="1" applyProtection="1">
      <alignment vertical="center"/>
      <protection/>
    </xf>
    <xf numFmtId="174" fontId="12" fillId="0" borderId="0" xfId="23" applyNumberFormat="1" applyFont="1" applyAlignment="1" applyProtection="1">
      <alignment horizontal="left" vertical="center"/>
      <protection/>
    </xf>
    <xf numFmtId="0" fontId="12" fillId="3" borderId="1" xfId="23" applyFont="1" applyFill="1" applyBorder="1" applyAlignment="1" applyProtection="1">
      <alignment horizontal="right" vertical="center"/>
      <protection locked="0"/>
    </xf>
    <xf numFmtId="0" fontId="12" fillId="3" borderId="1" xfId="23" applyFont="1" applyFill="1" applyBorder="1" applyAlignment="1" applyProtection="1">
      <alignment vertical="center"/>
      <protection locked="0"/>
    </xf>
    <xf numFmtId="0" fontId="12" fillId="3" borderId="2" xfId="23" applyFont="1" applyFill="1" applyBorder="1" applyAlignment="1" applyProtection="1">
      <alignment horizontal="right" vertical="center"/>
      <protection locked="0"/>
    </xf>
    <xf numFmtId="0" fontId="12" fillId="3" borderId="2" xfId="23" applyFont="1" applyFill="1" applyBorder="1" applyAlignment="1" applyProtection="1">
      <alignment vertical="center"/>
      <protection locked="0"/>
    </xf>
    <xf numFmtId="0" fontId="6" fillId="3" borderId="0" xfId="23" applyFont="1" applyFill="1" applyAlignment="1" applyProtection="1">
      <alignment vertical="center"/>
      <protection locked="0"/>
    </xf>
    <xf numFmtId="0" fontId="25" fillId="0" borderId="13" xfId="0" applyFont="1" applyBorder="1" applyAlignment="1">
      <alignment/>
    </xf>
    <xf numFmtId="0" fontId="25" fillId="3" borderId="0" xfId="0" applyFont="1" applyFill="1" applyAlignment="1" applyProtection="1">
      <alignment/>
      <protection locked="0"/>
    </xf>
    <xf numFmtId="0" fontId="25" fillId="3" borderId="13" xfId="0" applyFont="1" applyFill="1" applyBorder="1" applyAlignment="1" applyProtection="1">
      <alignment/>
      <protection locked="0"/>
    </xf>
    <xf numFmtId="176" fontId="23" fillId="3" borderId="0" xfId="24" applyFont="1" applyFill="1" applyAlignment="1" applyProtection="1">
      <alignment horizontal="right"/>
      <protection locked="0"/>
    </xf>
    <xf numFmtId="176" fontId="0" fillId="3" borderId="14" xfId="24" applyFont="1" applyFill="1" applyBorder="1" applyAlignment="1" applyProtection="1">
      <alignment horizontal="right"/>
      <protection locked="0"/>
    </xf>
    <xf numFmtId="176" fontId="0" fillId="3" borderId="15" xfId="24" applyFont="1" applyFill="1" applyBorder="1" applyAlignment="1" applyProtection="1">
      <alignment horizontal="right"/>
      <protection locked="0"/>
    </xf>
    <xf numFmtId="176" fontId="0" fillId="3" borderId="16" xfId="24" applyFont="1" applyFill="1" applyBorder="1" applyAlignment="1" applyProtection="1">
      <alignment horizontal="right"/>
      <protection locked="0"/>
    </xf>
    <xf numFmtId="176" fontId="0" fillId="3" borderId="1" xfId="24" applyFont="1" applyFill="1" applyBorder="1" applyAlignment="1" applyProtection="1">
      <alignment horizontal="right"/>
      <protection locked="0"/>
    </xf>
    <xf numFmtId="2" fontId="0" fillId="3" borderId="17" xfId="24" applyNumberFormat="1" applyFont="1" applyFill="1" applyBorder="1" applyAlignment="1" applyProtection="1">
      <alignment horizontal="right"/>
      <protection locked="0"/>
    </xf>
    <xf numFmtId="2" fontId="0" fillId="3" borderId="1" xfId="24" applyNumberFormat="1" applyFont="1" applyFill="1" applyBorder="1" applyAlignment="1" applyProtection="1">
      <alignment horizontal="right"/>
      <protection locked="0"/>
    </xf>
    <xf numFmtId="0" fontId="25" fillId="3" borderId="10" xfId="0" applyFont="1" applyFill="1" applyBorder="1" applyAlignment="1" applyProtection="1">
      <alignment/>
      <protection locked="0"/>
    </xf>
    <xf numFmtId="0" fontId="25" fillId="3" borderId="0" xfId="0" applyFont="1" applyFill="1" applyAlignment="1">
      <alignment/>
    </xf>
    <xf numFmtId="0" fontId="26" fillId="0" borderId="10" xfId="0" applyFont="1" applyBorder="1" applyAlignment="1">
      <alignment horizontal="right"/>
    </xf>
    <xf numFmtId="0" fontId="28" fillId="3" borderId="18" xfId="0" applyFont="1" applyFill="1" applyBorder="1" applyAlignment="1" applyProtection="1">
      <alignment/>
      <protection locked="0"/>
    </xf>
    <xf numFmtId="0" fontId="28" fillId="3" borderId="19" xfId="0" applyFont="1" applyFill="1" applyBorder="1" applyAlignment="1" applyProtection="1">
      <alignment/>
      <protection locked="0"/>
    </xf>
    <xf numFmtId="0" fontId="26" fillId="0" borderId="0" xfId="22" applyFont="1" applyAlignment="1">
      <alignment horizontal="right"/>
      <protection/>
    </xf>
    <xf numFmtId="0" fontId="16" fillId="3" borderId="0" xfId="22" applyFill="1" applyProtection="1">
      <alignment/>
      <protection locked="0"/>
    </xf>
    <xf numFmtId="0" fontId="16" fillId="3" borderId="0" xfId="22" applyFill="1">
      <alignment/>
      <protection/>
    </xf>
    <xf numFmtId="0" fontId="16" fillId="3" borderId="3" xfId="22" applyFont="1" applyFill="1" applyBorder="1" applyAlignment="1" applyProtection="1">
      <alignment horizontal="right"/>
      <protection locked="0"/>
    </xf>
    <xf numFmtId="0" fontId="16" fillId="3" borderId="6" xfId="22" applyFill="1" applyBorder="1" applyProtection="1">
      <alignment/>
      <protection locked="0"/>
    </xf>
    <xf numFmtId="0" fontId="16" fillId="3" borderId="20" xfId="22" applyFill="1" applyBorder="1" applyProtection="1">
      <alignment/>
      <protection locked="0"/>
    </xf>
    <xf numFmtId="0" fontId="16" fillId="0" borderId="10" xfId="22" applyBorder="1">
      <alignment/>
      <protection/>
    </xf>
    <xf numFmtId="0" fontId="16" fillId="0" borderId="10" xfId="22" applyBorder="1" applyAlignment="1">
      <alignment horizontal="right"/>
      <protection/>
    </xf>
    <xf numFmtId="172" fontId="16" fillId="0" borderId="10" xfId="22" applyNumberFormat="1" applyBorder="1" applyProtection="1">
      <alignment/>
      <protection/>
    </xf>
    <xf numFmtId="164" fontId="16" fillId="0" borderId="10" xfId="22" applyNumberFormat="1" applyBorder="1">
      <alignment/>
      <protection/>
    </xf>
    <xf numFmtId="0" fontId="16" fillId="0" borderId="6" xfId="22" applyFill="1" applyBorder="1" applyProtection="1">
      <alignment/>
      <protection/>
    </xf>
    <xf numFmtId="0" fontId="6" fillId="3" borderId="0" xfId="0" applyFont="1" applyFill="1" applyAlignment="1" applyProtection="1">
      <alignment vertical="center"/>
      <protection locked="0"/>
    </xf>
    <xf numFmtId="0" fontId="6" fillId="3" borderId="0" xfId="0" applyFont="1" applyFill="1" applyAlignment="1" applyProtection="1">
      <alignment/>
      <protection locked="0"/>
    </xf>
    <xf numFmtId="0" fontId="6" fillId="0" borderId="16" xfId="0" applyFont="1" applyBorder="1" applyAlignment="1">
      <alignment horizontal="right" vertical="center"/>
    </xf>
    <xf numFmtId="0" fontId="6" fillId="3" borderId="13" xfId="0" applyFont="1" applyFill="1" applyBorder="1" applyAlignment="1" applyProtection="1">
      <alignment vertical="center"/>
      <protection locked="0"/>
    </xf>
    <xf numFmtId="0" fontId="6" fillId="3" borderId="13" xfId="0" applyFont="1" applyFill="1" applyBorder="1" applyAlignment="1" applyProtection="1">
      <alignment/>
      <protection locked="0"/>
    </xf>
    <xf numFmtId="0" fontId="6" fillId="0" borderId="0" xfId="0" applyNumberFormat="1" applyFont="1" applyAlignment="1">
      <alignment vertical="center"/>
    </xf>
    <xf numFmtId="0" fontId="6" fillId="0" borderId="10" xfId="0" applyNumberFormat="1" applyFont="1" applyBorder="1" applyAlignment="1">
      <alignment vertical="center"/>
    </xf>
    <xf numFmtId="0" fontId="6" fillId="0" borderId="0" xfId="0" applyNumberFormat="1" applyFont="1" applyAlignment="1">
      <alignment vertical="center"/>
    </xf>
    <xf numFmtId="0" fontId="28" fillId="0" borderId="0" xfId="0" applyNumberFormat="1" applyFont="1" applyAlignment="1">
      <alignment horizontal="center" vertical="center"/>
    </xf>
    <xf numFmtId="0" fontId="1" fillId="0" borderId="0" xfId="0" applyFont="1" applyAlignment="1">
      <alignment/>
    </xf>
    <xf numFmtId="0" fontId="0" fillId="0" borderId="0" xfId="0" applyAlignment="1">
      <alignment horizontal="right"/>
    </xf>
    <xf numFmtId="0" fontId="0" fillId="0" borderId="10" xfId="0" applyBorder="1" applyAlignment="1">
      <alignment horizontal="right"/>
    </xf>
    <xf numFmtId="0" fontId="0" fillId="0" borderId="10" xfId="0" applyBorder="1" applyAlignment="1">
      <alignment/>
    </xf>
    <xf numFmtId="0" fontId="1" fillId="0" borderId="12" xfId="0" applyFont="1" applyBorder="1" applyAlignment="1">
      <alignment/>
    </xf>
    <xf numFmtId="0" fontId="0" fillId="0" borderId="12" xfId="0" applyBorder="1" applyAlignment="1">
      <alignment/>
    </xf>
    <xf numFmtId="0" fontId="0" fillId="0" borderId="11" xfId="0" applyBorder="1" applyAlignment="1">
      <alignment/>
    </xf>
    <xf numFmtId="0" fontId="0" fillId="0" borderId="11" xfId="0" applyBorder="1" applyAlignment="1">
      <alignment horizontal="right"/>
    </xf>
    <xf numFmtId="0" fontId="0" fillId="0" borderId="0" xfId="0" applyBorder="1" applyAlignment="1">
      <alignment/>
    </xf>
    <xf numFmtId="0" fontId="30" fillId="0" borderId="11" xfId="0" applyFont="1" applyBorder="1" applyAlignment="1">
      <alignment horizontal="right"/>
    </xf>
    <xf numFmtId="2" fontId="0" fillId="0" borderId="0" xfId="0" applyNumberFormat="1" applyAlignment="1">
      <alignment/>
    </xf>
    <xf numFmtId="172" fontId="0" fillId="0" borderId="0" xfId="0" applyNumberFormat="1" applyAlignment="1">
      <alignment/>
    </xf>
    <xf numFmtId="164" fontId="0" fillId="0" borderId="0" xfId="0" applyNumberFormat="1" applyAlignment="1">
      <alignment/>
    </xf>
    <xf numFmtId="0" fontId="0" fillId="0" borderId="12" xfId="0" applyBorder="1" applyAlignment="1">
      <alignment horizontal="right"/>
    </xf>
    <xf numFmtId="0" fontId="30" fillId="0" borderId="10" xfId="0" applyFont="1" applyBorder="1" applyAlignment="1">
      <alignment horizontal="right"/>
    </xf>
    <xf numFmtId="0" fontId="0" fillId="3" borderId="11" xfId="0" applyFill="1" applyBorder="1" applyAlignment="1" applyProtection="1">
      <alignment horizontal="right"/>
      <protection locked="0"/>
    </xf>
    <xf numFmtId="0" fontId="0" fillId="3" borderId="16" xfId="0" applyFill="1" applyBorder="1" applyAlignment="1" applyProtection="1">
      <alignment horizontal="right"/>
      <protection locked="0"/>
    </xf>
    <xf numFmtId="0" fontId="0" fillId="3" borderId="0" xfId="0" applyFill="1" applyAlignment="1" applyProtection="1">
      <alignment/>
      <protection locked="0"/>
    </xf>
    <xf numFmtId="0" fontId="0" fillId="3" borderId="13" xfId="0" applyFill="1" applyBorder="1" applyAlignment="1" applyProtection="1">
      <alignment/>
      <protection locked="0"/>
    </xf>
    <xf numFmtId="0" fontId="6" fillId="3" borderId="12" xfId="0" applyFont="1" applyFill="1" applyBorder="1" applyAlignment="1" applyProtection="1">
      <alignment/>
      <protection locked="0"/>
    </xf>
    <xf numFmtId="0" fontId="6" fillId="3" borderId="21" xfId="0" applyFont="1" applyFill="1" applyBorder="1" applyAlignment="1" applyProtection="1">
      <alignment/>
      <protection locked="0"/>
    </xf>
    <xf numFmtId="172" fontId="6" fillId="3" borderId="0" xfId="0" applyNumberFormat="1" applyFont="1" applyFill="1" applyAlignment="1" applyProtection="1">
      <alignment vertical="center"/>
      <protection locked="0"/>
    </xf>
    <xf numFmtId="0" fontId="16" fillId="3" borderId="0" xfId="22" applyFont="1" applyFill="1" applyProtection="1">
      <alignment/>
      <protection locked="0"/>
    </xf>
    <xf numFmtId="0" fontId="16" fillId="3" borderId="6" xfId="22" applyFont="1" applyFill="1" applyBorder="1" applyProtection="1">
      <alignment/>
      <protection locked="0"/>
    </xf>
    <xf numFmtId="0" fontId="16" fillId="3" borderId="20" xfId="22" applyFont="1" applyFill="1" applyBorder="1" applyProtection="1">
      <alignment/>
      <protection locked="0"/>
    </xf>
    <xf numFmtId="173" fontId="12" fillId="0" borderId="0" xfId="25" applyNumberFormat="1" applyFont="1" applyAlignment="1" applyProtection="1">
      <alignment horizontal="left" vertical="center"/>
      <protection/>
    </xf>
    <xf numFmtId="0" fontId="31" fillId="0" borderId="0" xfId="22" applyFont="1">
      <alignment/>
      <protection/>
    </xf>
    <xf numFmtId="0" fontId="32" fillId="0" borderId="0" xfId="22" applyFont="1">
      <alignment/>
      <protection/>
    </xf>
    <xf numFmtId="0" fontId="0" fillId="3" borderId="3" xfId="21" applyFont="1" applyFill="1" applyBorder="1" applyAlignment="1" applyProtection="1">
      <alignment horizontal="right"/>
      <protection locked="0"/>
    </xf>
    <xf numFmtId="0" fontId="26" fillId="0" borderId="0" xfId="21" applyFont="1">
      <alignment/>
      <protection/>
    </xf>
    <xf numFmtId="0" fontId="25" fillId="0" borderId="0" xfId="21" applyFont="1">
      <alignment/>
      <protection/>
    </xf>
    <xf numFmtId="0" fontId="26" fillId="0" borderId="0" xfId="21" applyFont="1" applyAlignment="1">
      <alignment horizontal="right"/>
      <protection/>
    </xf>
    <xf numFmtId="0" fontId="25" fillId="3" borderId="0" xfId="21" applyFont="1" applyFill="1" applyProtection="1">
      <alignment/>
      <protection locked="0"/>
    </xf>
    <xf numFmtId="0" fontId="25" fillId="0" borderId="3" xfId="21" applyFont="1" applyBorder="1">
      <alignment/>
      <protection/>
    </xf>
    <xf numFmtId="0" fontId="25" fillId="0" borderId="4" xfId="21" applyFont="1" applyBorder="1" applyAlignment="1">
      <alignment horizontal="right"/>
      <protection/>
    </xf>
    <xf numFmtId="0" fontId="25" fillId="3" borderId="6" xfId="21" applyFont="1" applyFill="1" applyBorder="1" applyProtection="1">
      <alignment/>
      <protection locked="0"/>
    </xf>
    <xf numFmtId="0" fontId="25" fillId="0" borderId="1" xfId="21" applyFont="1" applyBorder="1">
      <alignment/>
      <protection/>
    </xf>
    <xf numFmtId="0" fontId="25" fillId="3" borderId="20" xfId="21" applyFont="1" applyFill="1" applyBorder="1" applyProtection="1">
      <alignment/>
      <protection locked="0"/>
    </xf>
    <xf numFmtId="0" fontId="25" fillId="0" borderId="5" xfId="21" applyFont="1" applyBorder="1" applyAlignment="1" applyProtection="1">
      <alignment horizontal="right"/>
      <protection locked="0"/>
    </xf>
    <xf numFmtId="0" fontId="25" fillId="0" borderId="6" xfId="21" applyFont="1" applyBorder="1" applyAlignment="1">
      <alignment horizontal="right"/>
      <protection/>
    </xf>
    <xf numFmtId="0" fontId="25" fillId="0" borderId="7" xfId="21" applyFont="1" applyBorder="1">
      <alignment/>
      <protection/>
    </xf>
    <xf numFmtId="0" fontId="25" fillId="0" borderId="0" xfId="21" applyFont="1" applyBorder="1">
      <alignment/>
      <protection/>
    </xf>
    <xf numFmtId="0" fontId="25" fillId="0" borderId="0" xfId="21" applyFont="1" applyAlignment="1">
      <alignment horizontal="right"/>
      <protection/>
    </xf>
    <xf numFmtId="173" fontId="25" fillId="0" borderId="1" xfId="21" applyNumberFormat="1" applyFont="1" applyBorder="1" applyAlignment="1">
      <alignment horizontal="center"/>
      <protection/>
    </xf>
    <xf numFmtId="0" fontId="26" fillId="0" borderId="0" xfId="21" applyFont="1" applyProtection="1">
      <alignment/>
      <protection hidden="1"/>
    </xf>
    <xf numFmtId="0" fontId="26" fillId="0" borderId="0" xfId="21" applyFont="1" applyAlignment="1">
      <alignment horizontal="left"/>
      <protection/>
    </xf>
    <xf numFmtId="167" fontId="25" fillId="0" borderId="0" xfId="21" applyNumberFormat="1" applyFont="1" applyAlignment="1" applyProtection="1">
      <alignment horizontal="right"/>
      <protection/>
    </xf>
    <xf numFmtId="167" fontId="25" fillId="0" borderId="0" xfId="21" applyNumberFormat="1" applyFont="1" applyProtection="1">
      <alignment/>
      <protection/>
    </xf>
    <xf numFmtId="167" fontId="25" fillId="0" borderId="0" xfId="21" applyNumberFormat="1" applyFont="1" applyAlignment="1">
      <alignment horizontal="right"/>
      <protection/>
    </xf>
    <xf numFmtId="164" fontId="33" fillId="0" borderId="0" xfId="21" applyNumberFormat="1" applyFont="1">
      <alignment/>
      <protection/>
    </xf>
    <xf numFmtId="172" fontId="25" fillId="0" borderId="0" xfId="21" applyNumberFormat="1" applyFont="1" applyProtection="1">
      <alignment/>
      <protection/>
    </xf>
    <xf numFmtId="1" fontId="25" fillId="0" borderId="0" xfId="21" applyNumberFormat="1" applyFont="1" applyProtection="1">
      <alignment/>
      <protection/>
    </xf>
    <xf numFmtId="164" fontId="25" fillId="0" borderId="0" xfId="21" applyNumberFormat="1" applyFont="1">
      <alignment/>
      <protection/>
    </xf>
    <xf numFmtId="2" fontId="25" fillId="0" borderId="0" xfId="21" applyNumberFormat="1" applyFont="1" applyProtection="1">
      <alignment/>
      <protection/>
    </xf>
    <xf numFmtId="172" fontId="25" fillId="0" borderId="0" xfId="21" applyNumberFormat="1" applyFont="1">
      <alignment/>
      <protection/>
    </xf>
    <xf numFmtId="0" fontId="0" fillId="3" borderId="6" xfId="21" applyFont="1" applyFill="1" applyBorder="1" applyAlignment="1" applyProtection="1">
      <alignment horizontal="right"/>
      <protection locked="0"/>
    </xf>
    <xf numFmtId="0" fontId="0" fillId="3" borderId="20" xfId="21" applyFont="1" applyFill="1" applyBorder="1" applyAlignment="1" applyProtection="1">
      <alignment horizontal="right"/>
      <protection locked="0"/>
    </xf>
    <xf numFmtId="0" fontId="0" fillId="0" borderId="0" xfId="21" applyFont="1" applyAlignment="1">
      <alignment horizontal="right"/>
      <protection/>
    </xf>
    <xf numFmtId="0" fontId="34" fillId="0" borderId="0" xfId="21" applyFont="1">
      <alignment/>
      <protection/>
    </xf>
    <xf numFmtId="49" fontId="0" fillId="0" borderId="0" xfId="0" applyNumberFormat="1" applyAlignment="1">
      <alignment horizontal="right"/>
    </xf>
    <xf numFmtId="49" fontId="0" fillId="0" borderId="10" xfId="0" applyNumberFormat="1" applyBorder="1" applyAlignment="1">
      <alignment horizontal="right"/>
    </xf>
    <xf numFmtId="0" fontId="0" fillId="3" borderId="12" xfId="0" applyFill="1" applyBorder="1" applyAlignment="1" applyProtection="1">
      <alignment/>
      <protection locked="0"/>
    </xf>
    <xf numFmtId="0" fontId="0" fillId="3" borderId="22" xfId="0" applyFill="1" applyBorder="1" applyAlignment="1" applyProtection="1">
      <alignment horizontal="right"/>
      <protection locked="0"/>
    </xf>
    <xf numFmtId="0" fontId="0" fillId="3" borderId="23" xfId="0" applyFill="1" applyBorder="1" applyAlignment="1" applyProtection="1">
      <alignment/>
      <protection locked="0"/>
    </xf>
    <xf numFmtId="0" fontId="0" fillId="0" borderId="0" xfId="0" applyFont="1" applyAlignment="1">
      <alignment vertical="center"/>
    </xf>
    <xf numFmtId="0" fontId="7" fillId="0" borderId="0" xfId="21" applyFont="1">
      <alignment/>
      <protection/>
    </xf>
    <xf numFmtId="0" fontId="7" fillId="0" borderId="0" xfId="21" applyFont="1" applyBorder="1">
      <alignment/>
      <protection/>
    </xf>
    <xf numFmtId="0" fontId="36" fillId="0" borderId="0" xfId="21" applyFont="1">
      <alignment/>
      <protection/>
    </xf>
    <xf numFmtId="0" fontId="0" fillId="0" borderId="0" xfId="0" applyAlignment="1">
      <alignment wrapText="1"/>
    </xf>
    <xf numFmtId="0" fontId="0" fillId="0" borderId="0" xfId="0" applyAlignment="1" applyProtection="1">
      <alignment/>
      <protection locked="0"/>
    </xf>
    <xf numFmtId="1" fontId="25" fillId="0" borderId="10" xfId="0" applyNumberFormat="1" applyFont="1" applyBorder="1" applyAlignment="1">
      <alignment horizontal="center"/>
    </xf>
    <xf numFmtId="164" fontId="25" fillId="0" borderId="0" xfId="0" applyNumberFormat="1" applyFont="1" applyAlignment="1">
      <alignment horizontal="center"/>
    </xf>
    <xf numFmtId="164" fontId="25" fillId="0" borderId="10" xfId="0" applyNumberFormat="1" applyFont="1" applyBorder="1" applyAlignment="1">
      <alignment horizontal="center"/>
    </xf>
    <xf numFmtId="172" fontId="25" fillId="0" borderId="0" xfId="0" applyNumberFormat="1" applyFont="1" applyAlignment="1">
      <alignment horizontal="center"/>
    </xf>
    <xf numFmtId="0" fontId="25" fillId="0" borderId="0" xfId="0" applyNumberFormat="1" applyFont="1" applyAlignment="1">
      <alignment horizontal="center"/>
    </xf>
  </cellXfs>
  <cellStyles count="12">
    <cellStyle name="Normal" xfId="0"/>
    <cellStyle name="Comma" xfId="15"/>
    <cellStyle name="Comma [0]" xfId="16"/>
    <cellStyle name="Currency" xfId="17"/>
    <cellStyle name="Currency [0]" xfId="18"/>
    <cellStyle name="Followed Hyperlink" xfId="19"/>
    <cellStyle name="Hyperlink" xfId="20"/>
    <cellStyle name="Normal_CHI² 2  X C" xfId="21"/>
    <cellStyle name="Normal_CHI² 2x2" xfId="22"/>
    <cellStyle name="Normal_FISHER" xfId="23"/>
    <cellStyle name="Normal_T_SD_SEM"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
          <c:y val="0.07675"/>
          <c:w val="0.9175"/>
          <c:h val="0.791"/>
        </c:manualLayout>
      </c:layout>
      <c:scatterChart>
        <c:scatterStyle val="lineMarker"/>
        <c:varyColors val="0"/>
        <c:ser>
          <c:idx val="0"/>
          <c:order val="0"/>
          <c:tx>
            <c:strRef>
              <c:f>regression!$B$3</c:f>
              <c:strCache>
                <c:ptCount val="1"/>
                <c:pt idx="0">
                  <c:v>enter name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0"/>
            <c:trendlineLbl>
              <c:layout>
                <c:manualLayout>
                  <c:x val="0"/>
                  <c:y val="0"/>
                </c:manualLayout>
              </c:layout>
              <c:numFmt formatCode="0.00"/>
            </c:trendlineLbl>
          </c:trendline>
          <c:xVal>
            <c:numRef>
              <c:f>regression!$A$4:$A$99</c:f>
              <c:numCache/>
            </c:numRef>
          </c:xVal>
          <c:yVal>
            <c:numRef>
              <c:f>regression!$B$4:$B$99</c:f>
              <c:numCache/>
            </c:numRef>
          </c:yVal>
          <c:smooth val="0"/>
        </c:ser>
        <c:axId val="12216260"/>
        <c:axId val="42837477"/>
      </c:scatterChart>
      <c:valAx>
        <c:axId val="12216260"/>
        <c:scaling>
          <c:orientation val="minMax"/>
        </c:scaling>
        <c:axPos val="b"/>
        <c:title>
          <c:tx>
            <c:strRef>
              <c:f>regression!$A$3</c:f>
            </c:strRef>
          </c:tx>
          <c:layout/>
          <c:overlay val="0"/>
          <c:spPr>
            <a:noFill/>
            <a:ln>
              <a:noFill/>
            </a:ln>
          </c:spPr>
          <c:txPr>
            <a:bodyPr vert="horz" rot="0"/>
            <a:lstStyle/>
            <a:p>
              <a:pPr>
                <a:defRPr lang="en-US" cap="none" sz="1025" b="1" i="0" u="none" baseline="0">
                  <a:latin typeface="Arial"/>
                  <a:ea typeface="Arial"/>
                  <a:cs typeface="Arial"/>
                </a:defRPr>
              </a:pPr>
            </a:p>
          </c:txPr>
        </c:title>
        <c:delete val="0"/>
        <c:numFmt formatCode="General" sourceLinked="1"/>
        <c:majorTickMark val="out"/>
        <c:minorTickMark val="none"/>
        <c:tickLblPos val="nextTo"/>
        <c:crossAx val="42837477"/>
        <c:crosses val="autoZero"/>
        <c:crossBetween val="midCat"/>
        <c:dispUnits/>
      </c:valAx>
      <c:valAx>
        <c:axId val="42837477"/>
        <c:scaling>
          <c:orientation val="minMax"/>
        </c:scaling>
        <c:axPos val="l"/>
        <c:title>
          <c:tx>
            <c:strRef>
              <c:f>regression!$B$3</c:f>
            </c:strRef>
          </c:tx>
          <c:layout/>
          <c:overlay val="0"/>
          <c:spPr>
            <a:noFill/>
            <a:ln>
              <a:noFill/>
            </a:ln>
          </c:spPr>
          <c:txPr>
            <a:bodyPr vert="horz" rot="-5400000"/>
            <a:lstStyle/>
            <a:p>
              <a:pPr>
                <a:defRPr lang="en-US" cap="none" sz="1025" b="1" i="0" u="none" baseline="0">
                  <a:latin typeface="Arial"/>
                  <a:ea typeface="Arial"/>
                  <a:cs typeface="Arial"/>
                </a:defRPr>
              </a:pPr>
            </a:p>
          </c:txPr>
        </c:title>
        <c:delete val="0"/>
        <c:numFmt formatCode="General" sourceLinked="1"/>
        <c:majorTickMark val="out"/>
        <c:minorTickMark val="none"/>
        <c:tickLblPos val="nextTo"/>
        <c:crossAx val="12216260"/>
        <c:crosses val="autoZero"/>
        <c:crossBetween val="midCat"/>
        <c:dispUnits/>
      </c:valAx>
      <c:spPr>
        <a:noFill/>
        <a:ln>
          <a:no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7</xdr:row>
      <xdr:rowOff>9525</xdr:rowOff>
    </xdr:from>
    <xdr:to>
      <xdr:col>13</xdr:col>
      <xdr:colOff>0</xdr:colOff>
      <xdr:row>21</xdr:row>
      <xdr:rowOff>133350</xdr:rowOff>
    </xdr:to>
    <xdr:graphicFrame>
      <xdr:nvGraphicFramePr>
        <xdr:cNvPr id="1" name="Chart 1"/>
        <xdr:cNvGraphicFramePr/>
      </xdr:nvGraphicFramePr>
      <xdr:xfrm>
        <a:off x="2962275" y="1228725"/>
        <a:ext cx="4162425" cy="2524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47625</xdr:rowOff>
    </xdr:to>
    <xdr:pic>
      <xdr:nvPicPr>
        <xdr:cNvPr id="1" name="Picture 4"/>
        <xdr:cNvPicPr preferRelativeResize="1">
          <a:picLocks noChangeAspect="1"/>
        </xdr:cNvPicPr>
      </xdr:nvPicPr>
      <xdr:blipFill>
        <a:blip r:embed="rId1"/>
        <a:stretch>
          <a:fillRect/>
        </a:stretch>
      </xdr:blipFill>
      <xdr:spPr>
        <a:xfrm>
          <a:off x="0" y="0"/>
          <a:ext cx="657225"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12"/>
  <sheetViews>
    <sheetView workbookViewId="0" topLeftCell="A1">
      <selection activeCell="A12" sqref="A12"/>
    </sheetView>
  </sheetViews>
  <sheetFormatPr defaultColWidth="9.140625" defaultRowHeight="12.75"/>
  <cols>
    <col min="1" max="1" width="95.8515625" style="0" customWidth="1"/>
  </cols>
  <sheetData>
    <row r="2" ht="25.5">
      <c r="A2" s="237" t="s">
        <v>216</v>
      </c>
    </row>
    <row r="4" ht="51">
      <c r="A4" s="237" t="s">
        <v>214</v>
      </c>
    </row>
    <row r="6" ht="25.5">
      <c r="A6" s="237" t="s">
        <v>217</v>
      </c>
    </row>
    <row r="8" ht="25.5">
      <c r="A8" s="237" t="s">
        <v>215</v>
      </c>
    </row>
    <row r="9" ht="12.75">
      <c r="A9" s="237"/>
    </row>
    <row r="10" ht="12.75">
      <c r="A10" s="237"/>
    </row>
    <row r="11" ht="12.75">
      <c r="A11" s="237"/>
    </row>
    <row r="12" ht="12.75">
      <c r="A12" s="23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P445"/>
  <sheetViews>
    <sheetView showGridLines="0" workbookViewId="0" topLeftCell="A1">
      <selection activeCell="M14" sqref="M14"/>
    </sheetView>
  </sheetViews>
  <sheetFormatPr defaultColWidth="9.140625" defaultRowHeight="12.75"/>
  <cols>
    <col min="1" max="1" width="12.421875" style="91" customWidth="1"/>
    <col min="2" max="2" width="12.28125" style="91" customWidth="1"/>
    <col min="3" max="3" width="3.421875" style="91" customWidth="1"/>
    <col min="4" max="4" width="13.7109375" style="91" customWidth="1"/>
    <col min="5" max="5" width="14.28125" style="91" customWidth="1"/>
    <col min="6" max="6" width="15.28125" style="91" customWidth="1"/>
    <col min="7" max="7" width="3.28125" style="91" customWidth="1"/>
    <col min="8" max="16384" width="9.140625" style="91" customWidth="1"/>
  </cols>
  <sheetData>
    <row r="1" spans="3:16" ht="15.75">
      <c r="C1" s="146" t="s">
        <v>116</v>
      </c>
      <c r="D1" s="144" t="s">
        <v>229</v>
      </c>
      <c r="E1" s="144"/>
      <c r="F1" s="144"/>
      <c r="G1" s="145"/>
      <c r="H1" s="134" t="s">
        <v>117</v>
      </c>
      <c r="N1" s="90" t="s">
        <v>106</v>
      </c>
      <c r="O1" s="242">
        <f>(VAR(Group_1)*(E4-1)+VAR(Group_2)*(F4-1))/(E4+F4-2)</f>
        <v>87713.04308387211</v>
      </c>
      <c r="P1" s="242"/>
    </row>
    <row r="2" spans="1:15" ht="17.25" thickBot="1">
      <c r="A2" s="147" t="s">
        <v>236</v>
      </c>
      <c r="B2" s="148" t="s">
        <v>237</v>
      </c>
      <c r="D2" s="92"/>
      <c r="E2" s="64" t="str">
        <f>A2</f>
        <v>w hyperplasia</v>
      </c>
      <c r="F2" s="64" t="str">
        <f>B2</f>
        <v>w/o hyperplasia</v>
      </c>
      <c r="H2" s="134" t="s">
        <v>118</v>
      </c>
      <c r="N2" s="98" t="s">
        <v>113</v>
      </c>
      <c r="O2" s="99">
        <f>IF(E6&gt;F6,E4,F4)</f>
        <v>7</v>
      </c>
    </row>
    <row r="3" spans="1:15" ht="15">
      <c r="A3" s="135">
        <v>36923</v>
      </c>
      <c r="B3" s="136">
        <v>35977</v>
      </c>
      <c r="D3" s="90" t="s">
        <v>102</v>
      </c>
      <c r="E3" s="100">
        <f>SUM(Group_1)</f>
        <v>331388</v>
      </c>
      <c r="F3" s="100">
        <f>SUM(Group_2)</f>
        <v>255132</v>
      </c>
      <c r="H3" s="134" t="s">
        <v>119</v>
      </c>
      <c r="N3" s="98" t="s">
        <v>114</v>
      </c>
      <c r="O3" s="99">
        <f>IF(E6&gt;F6,F4,E4)</f>
        <v>9</v>
      </c>
    </row>
    <row r="4" spans="1:8" ht="15">
      <c r="A4" s="135">
        <v>36861</v>
      </c>
      <c r="B4" s="136">
        <v>35796</v>
      </c>
      <c r="D4" s="90" t="s">
        <v>94</v>
      </c>
      <c r="E4" s="100">
        <f>COUNT(Group_1)</f>
        <v>9</v>
      </c>
      <c r="F4" s="100">
        <f>COUNT(Group_2)</f>
        <v>7</v>
      </c>
      <c r="H4" s="134" t="s">
        <v>120</v>
      </c>
    </row>
    <row r="5" spans="1:8" ht="15">
      <c r="A5" s="135">
        <v>36892</v>
      </c>
      <c r="B5" s="136">
        <v>36708</v>
      </c>
      <c r="D5" s="90" t="s">
        <v>103</v>
      </c>
      <c r="E5" s="100">
        <f>AVERAGE(Group_1)</f>
        <v>36820.88888888889</v>
      </c>
      <c r="F5" s="100">
        <f>AVERAGE(Group_2)</f>
        <v>36447.42857142857</v>
      </c>
      <c r="H5" s="134" t="s">
        <v>121</v>
      </c>
    </row>
    <row r="6" spans="1:8" ht="15">
      <c r="A6" s="135">
        <v>36831</v>
      </c>
      <c r="B6" s="136">
        <v>36892</v>
      </c>
      <c r="D6" s="90" t="s">
        <v>104</v>
      </c>
      <c r="E6" s="94">
        <f>STDEV(Group_1)</f>
        <v>154.18288203028277</v>
      </c>
      <c r="F6" s="94">
        <f>STDEV(Group_2)</f>
        <v>415.89335858384356</v>
      </c>
      <c r="H6" s="134" t="s">
        <v>122</v>
      </c>
    </row>
    <row r="7" spans="1:8" ht="15">
      <c r="A7" s="135">
        <v>36465</v>
      </c>
      <c r="B7" s="136">
        <v>36678</v>
      </c>
      <c r="D7" s="95" t="s">
        <v>105</v>
      </c>
      <c r="E7" s="96">
        <f>E6/(E4)^0.5</f>
        <v>51.39429401009426</v>
      </c>
      <c r="F7" s="96">
        <f>F6/(F4)^0.5</f>
        <v>157.19291410518</v>
      </c>
      <c r="H7" s="134"/>
    </row>
    <row r="8" spans="1:8" ht="15.75">
      <c r="A8" s="135">
        <v>36678</v>
      </c>
      <c r="B8" s="136">
        <v>36708</v>
      </c>
      <c r="D8" s="101" t="str">
        <f>IF(E18&lt;0.05,"Warning: unequal variance, t-test not valid."," ")</f>
        <v>Warning: unequal variance, t-test not valid.</v>
      </c>
      <c r="E8" s="101"/>
      <c r="F8" s="101"/>
      <c r="H8" s="134" t="s">
        <v>123</v>
      </c>
    </row>
    <row r="9" spans="1:8" ht="15">
      <c r="A9" s="135">
        <v>36923</v>
      </c>
      <c r="B9" s="136">
        <v>36373</v>
      </c>
      <c r="D9" s="90" t="s">
        <v>107</v>
      </c>
      <c r="E9" s="242">
        <f>(O1*(E4+F4)/(E4*F4))^0.5</f>
        <v>149.2525658146393</v>
      </c>
      <c r="F9" s="242"/>
      <c r="H9" s="134" t="s">
        <v>124</v>
      </c>
    </row>
    <row r="10" spans="1:8" ht="15">
      <c r="A10" s="135">
        <v>36892</v>
      </c>
      <c r="B10" s="136"/>
      <c r="D10" s="90" t="s">
        <v>108</v>
      </c>
      <c r="E10" s="243">
        <f>ABS(E5-F5)</f>
        <v>373.46031746031804</v>
      </c>
      <c r="F10" s="243"/>
      <c r="H10" s="134" t="s">
        <v>125</v>
      </c>
    </row>
    <row r="11" spans="1:8" ht="15">
      <c r="A11" s="135">
        <v>36923</v>
      </c>
      <c r="B11" s="136"/>
      <c r="D11" s="90" t="s">
        <v>109</v>
      </c>
      <c r="E11" s="94">
        <f>E10-TINV(0.05,E13)*E9</f>
        <v>53.34540215390189</v>
      </c>
      <c r="F11" s="94">
        <f>E10+TINV(0.05,E13)*E9</f>
        <v>693.5752327667342</v>
      </c>
      <c r="H11" s="134" t="s">
        <v>126</v>
      </c>
    </row>
    <row r="12" spans="1:8" ht="15">
      <c r="A12" s="135"/>
      <c r="B12" s="136"/>
      <c r="D12" s="90" t="s">
        <v>6</v>
      </c>
      <c r="E12" s="242">
        <f>E10/E9</f>
        <v>2.502203666797449</v>
      </c>
      <c r="F12" s="242"/>
      <c r="H12" s="134" t="s">
        <v>127</v>
      </c>
    </row>
    <row r="13" spans="1:8" ht="15">
      <c r="A13" s="135"/>
      <c r="B13" s="136"/>
      <c r="D13" s="95" t="s">
        <v>86</v>
      </c>
      <c r="E13" s="239">
        <f>E4+F4-2</f>
        <v>14</v>
      </c>
      <c r="F13" s="239"/>
      <c r="H13" s="134"/>
    </row>
    <row r="14" spans="1:8" ht="15">
      <c r="A14" s="135"/>
      <c r="B14" s="136"/>
      <c r="D14" s="90" t="s">
        <v>10</v>
      </c>
      <c r="E14" s="240">
        <f>TDIST(E12,E13,2)</f>
        <v>0.02535846513077549</v>
      </c>
      <c r="F14" s="240"/>
      <c r="H14" s="134" t="s">
        <v>128</v>
      </c>
    </row>
    <row r="15" spans="1:8" ht="15">
      <c r="A15" s="135"/>
      <c r="B15" s="136"/>
      <c r="D15" s="95" t="s">
        <v>8</v>
      </c>
      <c r="E15" s="241">
        <f>TDIST(E12,E13,1)</f>
        <v>0.012679232565387746</v>
      </c>
      <c r="F15" s="241"/>
      <c r="H15" s="134" t="s">
        <v>129</v>
      </c>
    </row>
    <row r="16" spans="1:8" ht="15">
      <c r="A16" s="135"/>
      <c r="B16" s="136"/>
      <c r="D16" s="91" t="s">
        <v>110</v>
      </c>
      <c r="H16" s="134"/>
    </row>
    <row r="17" spans="1:8" ht="15">
      <c r="A17" s="135"/>
      <c r="B17" s="136"/>
      <c r="D17" s="90" t="s">
        <v>111</v>
      </c>
      <c r="E17" s="93">
        <f>IF(E6&gt;F6,E6^2,F6^2)/IF(E6&gt;F6,F6^2,E6^2)</f>
        <v>7.275982596146906</v>
      </c>
      <c r="H17" s="134"/>
    </row>
    <row r="18" spans="1:8" ht="15">
      <c r="A18" s="135"/>
      <c r="B18" s="136"/>
      <c r="D18" s="90" t="s">
        <v>112</v>
      </c>
      <c r="E18" s="94">
        <f>FDIST(E17,O2,O3)</f>
        <v>0.004119464778831266</v>
      </c>
      <c r="H18" s="134"/>
    </row>
    <row r="19" spans="1:8" ht="15.75">
      <c r="A19" s="135"/>
      <c r="B19" s="136"/>
      <c r="D19" s="63" t="s">
        <v>115</v>
      </c>
      <c r="E19" s="92"/>
      <c r="F19" s="92"/>
      <c r="H19" s="134"/>
    </row>
    <row r="20" spans="1:8" ht="15">
      <c r="A20" s="135"/>
      <c r="B20" s="136"/>
      <c r="H20" s="134"/>
    </row>
    <row r="21" spans="1:8" ht="15">
      <c r="A21" s="135"/>
      <c r="B21" s="136"/>
      <c r="H21" s="134" t="s">
        <v>139</v>
      </c>
    </row>
    <row r="22" spans="1:10" ht="15">
      <c r="A22" s="135"/>
      <c r="B22" s="136"/>
      <c r="H22" s="134" t="s">
        <v>141</v>
      </c>
      <c r="I22" s="91">
        <v>1067</v>
      </c>
      <c r="J22" s="91">
        <v>616</v>
      </c>
    </row>
    <row r="23" spans="1:10" ht="15">
      <c r="A23" s="135"/>
      <c r="B23" s="136"/>
      <c r="H23" s="134" t="s">
        <v>140</v>
      </c>
      <c r="I23" s="91">
        <v>97</v>
      </c>
      <c r="J23" s="91">
        <v>56</v>
      </c>
    </row>
    <row r="24" spans="1:9" ht="15">
      <c r="A24" s="135"/>
      <c r="B24" s="136"/>
      <c r="H24" s="134" t="s">
        <v>142</v>
      </c>
      <c r="I24" s="91">
        <v>12.14</v>
      </c>
    </row>
    <row r="25" spans="1:9" ht="15">
      <c r="A25" s="135"/>
      <c r="B25" s="136"/>
      <c r="H25" s="134" t="s">
        <v>143</v>
      </c>
      <c r="I25" s="91">
        <v>3.38</v>
      </c>
    </row>
    <row r="26" spans="1:8" ht="15">
      <c r="A26" s="135"/>
      <c r="B26" s="136"/>
      <c r="H26" s="134"/>
    </row>
    <row r="27" spans="1:8" ht="15">
      <c r="A27" s="135"/>
      <c r="B27" s="136"/>
      <c r="H27" s="134"/>
    </row>
    <row r="28" spans="1:8" ht="15">
      <c r="A28" s="135"/>
      <c r="B28" s="136"/>
      <c r="H28" s="134"/>
    </row>
    <row r="29" spans="1:8" ht="15">
      <c r="A29" s="135"/>
      <c r="B29" s="136"/>
      <c r="H29" s="134"/>
    </row>
    <row r="30" spans="1:2" ht="15">
      <c r="A30" s="135"/>
      <c r="B30" s="136"/>
    </row>
    <row r="31" spans="1:2" ht="15">
      <c r="A31" s="135"/>
      <c r="B31" s="136"/>
    </row>
    <row r="32" spans="1:2" ht="15">
      <c r="A32" s="135"/>
      <c r="B32" s="136"/>
    </row>
    <row r="33" spans="1:2" ht="15">
      <c r="A33" s="135"/>
      <c r="B33" s="136"/>
    </row>
    <row r="34" spans="1:2" ht="15">
      <c r="A34" s="135"/>
      <c r="B34" s="136"/>
    </row>
    <row r="35" spans="1:2" ht="15">
      <c r="A35" s="135"/>
      <c r="B35" s="136"/>
    </row>
    <row r="36" spans="1:2" ht="15">
      <c r="A36" s="135"/>
      <c r="B36" s="136"/>
    </row>
    <row r="37" spans="1:2" ht="15">
      <c r="A37" s="135"/>
      <c r="B37" s="136"/>
    </row>
    <row r="38" spans="1:2" ht="15">
      <c r="A38" s="135"/>
      <c r="B38" s="136"/>
    </row>
    <row r="39" spans="1:2" ht="15">
      <c r="A39" s="135"/>
      <c r="B39" s="136"/>
    </row>
    <row r="40" spans="1:2" ht="15">
      <c r="A40" s="135"/>
      <c r="B40" s="136"/>
    </row>
    <row r="41" spans="1:2" ht="15">
      <c r="A41" s="135"/>
      <c r="B41" s="136"/>
    </row>
    <row r="42" spans="1:2" ht="15">
      <c r="A42" s="135"/>
      <c r="B42" s="136"/>
    </row>
    <row r="43" spans="1:2" ht="15">
      <c r="A43" s="135"/>
      <c r="B43" s="136"/>
    </row>
    <row r="44" spans="1:2" ht="15">
      <c r="A44" s="135"/>
      <c r="B44" s="136"/>
    </row>
    <row r="45" spans="1:2" ht="15">
      <c r="A45" s="135"/>
      <c r="B45" s="136"/>
    </row>
    <row r="46" spans="1:2" ht="15">
      <c r="A46" s="135"/>
      <c r="B46" s="136"/>
    </row>
    <row r="47" spans="1:2" ht="15">
      <c r="A47" s="135"/>
      <c r="B47" s="136"/>
    </row>
    <row r="48" spans="1:2" ht="15">
      <c r="A48" s="135"/>
      <c r="B48" s="136"/>
    </row>
    <row r="49" spans="1:2" ht="15">
      <c r="A49" s="135"/>
      <c r="B49" s="136"/>
    </row>
    <row r="50" spans="1:2" ht="15">
      <c r="A50" s="135"/>
      <c r="B50" s="136"/>
    </row>
    <row r="51" spans="1:2" ht="15">
      <c r="A51" s="135"/>
      <c r="B51" s="136"/>
    </row>
    <row r="52" spans="1:2" ht="15">
      <c r="A52" s="135"/>
      <c r="B52" s="136"/>
    </row>
    <row r="53" spans="1:2" ht="15">
      <c r="A53" s="135"/>
      <c r="B53" s="136"/>
    </row>
    <row r="54" spans="1:2" ht="15">
      <c r="A54" s="135"/>
      <c r="B54" s="136"/>
    </row>
    <row r="55" spans="1:2" ht="15">
      <c r="A55" s="135"/>
      <c r="B55" s="136"/>
    </row>
    <row r="56" spans="1:2" ht="15">
      <c r="A56" s="135"/>
      <c r="B56" s="136"/>
    </row>
    <row r="57" spans="1:2" ht="15">
      <c r="A57" s="135"/>
      <c r="B57" s="136"/>
    </row>
    <row r="58" spans="1:2" ht="15">
      <c r="A58" s="135"/>
      <c r="B58" s="136"/>
    </row>
    <row r="59" spans="1:2" ht="15">
      <c r="A59" s="135"/>
      <c r="B59" s="136"/>
    </row>
    <row r="60" spans="1:2" ht="15">
      <c r="A60" s="135"/>
      <c r="B60" s="136"/>
    </row>
    <row r="61" spans="1:2" ht="15">
      <c r="A61" s="135"/>
      <c r="B61" s="136"/>
    </row>
    <row r="62" spans="1:2" ht="15">
      <c r="A62" s="135"/>
      <c r="B62" s="136"/>
    </row>
    <row r="63" spans="1:2" ht="15">
      <c r="A63" s="135"/>
      <c r="B63" s="136"/>
    </row>
    <row r="64" spans="1:2" ht="15">
      <c r="A64" s="135"/>
      <c r="B64" s="136"/>
    </row>
    <row r="65" spans="1:2" ht="15">
      <c r="A65" s="135"/>
      <c r="B65" s="136"/>
    </row>
    <row r="66" spans="1:2" ht="15">
      <c r="A66" s="135"/>
      <c r="B66" s="136"/>
    </row>
    <row r="67" spans="1:2" ht="15">
      <c r="A67" s="135"/>
      <c r="B67" s="136"/>
    </row>
    <row r="68" spans="1:2" ht="15">
      <c r="A68" s="135"/>
      <c r="B68" s="136"/>
    </row>
    <row r="69" spans="1:2" ht="15">
      <c r="A69" s="135"/>
      <c r="B69" s="136"/>
    </row>
    <row r="70" spans="1:2" ht="15">
      <c r="A70" s="135"/>
      <c r="B70" s="136"/>
    </row>
    <row r="71" spans="1:2" ht="15">
      <c r="A71" s="135"/>
      <c r="B71" s="136"/>
    </row>
    <row r="72" spans="1:2" ht="15">
      <c r="A72" s="135"/>
      <c r="B72" s="136"/>
    </row>
    <row r="73" spans="1:2" ht="15">
      <c r="A73" s="135"/>
      <c r="B73" s="136"/>
    </row>
    <row r="74" spans="1:2" ht="15">
      <c r="A74" s="135"/>
      <c r="B74" s="136"/>
    </row>
    <row r="75" spans="1:2" ht="15">
      <c r="A75" s="135"/>
      <c r="B75" s="136"/>
    </row>
    <row r="76" spans="1:2" ht="15">
      <c r="A76" s="135"/>
      <c r="B76" s="136"/>
    </row>
    <row r="77" spans="1:2" ht="15">
      <c r="A77" s="135"/>
      <c r="B77" s="136"/>
    </row>
    <row r="78" spans="1:2" ht="15">
      <c r="A78" s="135"/>
      <c r="B78" s="136"/>
    </row>
    <row r="79" spans="1:2" ht="15">
      <c r="A79" s="135"/>
      <c r="B79" s="136"/>
    </row>
    <row r="80" spans="1:2" ht="15">
      <c r="A80" s="135"/>
      <c r="B80" s="136"/>
    </row>
    <row r="81" spans="1:2" ht="15">
      <c r="A81" s="135"/>
      <c r="B81" s="136"/>
    </row>
    <row r="82" spans="1:2" ht="15">
      <c r="A82" s="135"/>
      <c r="B82" s="136"/>
    </row>
    <row r="83" spans="1:2" ht="15">
      <c r="A83" s="135"/>
      <c r="B83" s="136"/>
    </row>
    <row r="84" spans="1:2" ht="15">
      <c r="A84" s="135"/>
      <c r="B84" s="136"/>
    </row>
    <row r="85" spans="1:2" ht="15">
      <c r="A85" s="135"/>
      <c r="B85" s="136"/>
    </row>
    <row r="86" spans="1:2" ht="15">
      <c r="A86" s="135"/>
      <c r="B86" s="136"/>
    </row>
    <row r="87" spans="1:2" ht="15">
      <c r="A87" s="135"/>
      <c r="B87" s="136"/>
    </row>
    <row r="88" spans="1:2" ht="15">
      <c r="A88" s="135"/>
      <c r="B88" s="136"/>
    </row>
    <row r="89" spans="1:2" ht="15">
      <c r="A89" s="135"/>
      <c r="B89" s="136"/>
    </row>
    <row r="90" spans="1:2" ht="15">
      <c r="A90" s="135"/>
      <c r="B90" s="136"/>
    </row>
    <row r="91" spans="1:2" ht="15">
      <c r="A91" s="135"/>
      <c r="B91" s="136"/>
    </row>
    <row r="92" spans="1:2" ht="15">
      <c r="A92" s="135"/>
      <c r="B92" s="136"/>
    </row>
    <row r="93" spans="1:2" ht="15">
      <c r="A93" s="135"/>
      <c r="B93" s="136"/>
    </row>
    <row r="94" spans="1:2" ht="15">
      <c r="A94" s="135"/>
      <c r="B94" s="136"/>
    </row>
    <row r="95" spans="1:2" ht="15">
      <c r="A95" s="135"/>
      <c r="B95" s="136"/>
    </row>
    <row r="96" spans="1:2" ht="15">
      <c r="A96" s="135"/>
      <c r="B96" s="136"/>
    </row>
    <row r="97" spans="1:2" ht="15">
      <c r="A97" s="135"/>
      <c r="B97" s="136"/>
    </row>
    <row r="98" spans="1:2" ht="15">
      <c r="A98" s="135"/>
      <c r="B98" s="136"/>
    </row>
    <row r="99" spans="1:2" ht="15">
      <c r="A99" s="135"/>
      <c r="B99" s="136"/>
    </row>
    <row r="100" spans="1:2" ht="15">
      <c r="A100" s="135"/>
      <c r="B100" s="136"/>
    </row>
    <row r="101" spans="1:2" ht="15">
      <c r="A101" s="135"/>
      <c r="B101" s="136"/>
    </row>
    <row r="102" spans="1:2" ht="15">
      <c r="A102" s="135"/>
      <c r="B102" s="136"/>
    </row>
    <row r="103" spans="1:2" ht="15">
      <c r="A103" s="135"/>
      <c r="B103" s="136"/>
    </row>
    <row r="104" spans="1:2" ht="15">
      <c r="A104" s="97"/>
      <c r="B104" s="97"/>
    </row>
    <row r="105" spans="1:2" ht="15">
      <c r="A105" s="97"/>
      <c r="B105" s="97"/>
    </row>
    <row r="106" spans="1:2" ht="15">
      <c r="A106" s="97"/>
      <c r="B106" s="97"/>
    </row>
    <row r="107" spans="1:2" ht="15">
      <c r="A107" s="97"/>
      <c r="B107" s="97"/>
    </row>
    <row r="108" spans="1:2" ht="15">
      <c r="A108" s="97"/>
      <c r="B108" s="97"/>
    </row>
    <row r="109" spans="1:2" ht="15">
      <c r="A109" s="97"/>
      <c r="B109" s="97"/>
    </row>
    <row r="110" spans="1:2" ht="15">
      <c r="A110" s="97"/>
      <c r="B110" s="97"/>
    </row>
    <row r="111" spans="1:2" ht="15">
      <c r="A111" s="97"/>
      <c r="B111" s="97"/>
    </row>
    <row r="112" spans="1:2" ht="15">
      <c r="A112" s="97"/>
      <c r="B112" s="97"/>
    </row>
    <row r="113" spans="1:2" ht="15">
      <c r="A113" s="97"/>
      <c r="B113" s="97"/>
    </row>
    <row r="114" spans="1:2" ht="15">
      <c r="A114" s="97"/>
      <c r="B114" s="97"/>
    </row>
    <row r="115" spans="1:2" ht="15">
      <c r="A115" s="97"/>
      <c r="B115" s="97"/>
    </row>
    <row r="116" spans="1:2" ht="15">
      <c r="A116" s="97"/>
      <c r="B116" s="97"/>
    </row>
    <row r="117" spans="1:2" ht="15">
      <c r="A117" s="97"/>
      <c r="B117" s="97"/>
    </row>
    <row r="118" spans="1:2" ht="15">
      <c r="A118" s="97"/>
      <c r="B118" s="97"/>
    </row>
    <row r="119" spans="1:2" ht="15">
      <c r="A119" s="97"/>
      <c r="B119" s="97"/>
    </row>
    <row r="120" spans="1:2" ht="15">
      <c r="A120" s="97"/>
      <c r="B120" s="97"/>
    </row>
    <row r="121" spans="1:2" ht="15">
      <c r="A121" s="97"/>
      <c r="B121" s="97"/>
    </row>
    <row r="122" spans="1:2" ht="15">
      <c r="A122" s="97"/>
      <c r="B122" s="97"/>
    </row>
    <row r="123" spans="1:2" ht="15">
      <c r="A123" s="97"/>
      <c r="B123" s="97"/>
    </row>
    <row r="124" spans="1:2" ht="15">
      <c r="A124" s="97"/>
      <c r="B124" s="97"/>
    </row>
    <row r="125" spans="1:2" ht="15">
      <c r="A125" s="97"/>
      <c r="B125" s="97"/>
    </row>
    <row r="126" spans="1:2" ht="15">
      <c r="A126" s="97"/>
      <c r="B126" s="97"/>
    </row>
    <row r="127" spans="1:2" ht="15">
      <c r="A127" s="97"/>
      <c r="B127" s="97"/>
    </row>
    <row r="128" spans="1:2" ht="15">
      <c r="A128" s="97"/>
      <c r="B128" s="97"/>
    </row>
    <row r="129" spans="1:2" ht="15">
      <c r="A129" s="97"/>
      <c r="B129" s="97"/>
    </row>
    <row r="130" spans="1:2" ht="15">
      <c r="A130" s="97"/>
      <c r="B130" s="97"/>
    </row>
    <row r="131" spans="1:2" ht="15">
      <c r="A131" s="97"/>
      <c r="B131" s="97"/>
    </row>
    <row r="132" spans="1:2" ht="15">
      <c r="A132" s="97"/>
      <c r="B132" s="97"/>
    </row>
    <row r="133" spans="1:2" ht="15">
      <c r="A133" s="97"/>
      <c r="B133" s="97"/>
    </row>
    <row r="134" spans="1:2" ht="15">
      <c r="A134" s="97"/>
      <c r="B134" s="97"/>
    </row>
    <row r="135" spans="1:2" ht="15">
      <c r="A135" s="97"/>
      <c r="B135" s="97"/>
    </row>
    <row r="136" spans="1:2" ht="15">
      <c r="A136" s="97"/>
      <c r="B136" s="97"/>
    </row>
    <row r="137" spans="1:2" ht="15">
      <c r="A137" s="97"/>
      <c r="B137" s="97"/>
    </row>
    <row r="138" spans="1:2" ht="15">
      <c r="A138" s="97"/>
      <c r="B138" s="97"/>
    </row>
    <row r="139" spans="1:2" ht="15">
      <c r="A139" s="97"/>
      <c r="B139" s="97"/>
    </row>
    <row r="140" spans="1:2" ht="15">
      <c r="A140" s="97"/>
      <c r="B140" s="97"/>
    </row>
    <row r="141" spans="1:2" ht="15">
      <c r="A141" s="97"/>
      <c r="B141" s="97"/>
    </row>
    <row r="142" spans="1:2" ht="15">
      <c r="A142" s="97"/>
      <c r="B142" s="97"/>
    </row>
    <row r="143" spans="1:2" ht="15">
      <c r="A143" s="97"/>
      <c r="B143" s="97"/>
    </row>
    <row r="144" spans="1:2" ht="15">
      <c r="A144" s="97"/>
      <c r="B144" s="97"/>
    </row>
    <row r="145" spans="1:2" ht="15">
      <c r="A145" s="97"/>
      <c r="B145" s="97"/>
    </row>
    <row r="146" spans="1:2" ht="15">
      <c r="A146" s="97"/>
      <c r="B146" s="97"/>
    </row>
    <row r="147" spans="1:2" ht="15">
      <c r="A147" s="97"/>
      <c r="B147" s="97"/>
    </row>
    <row r="148" spans="1:2" ht="15">
      <c r="A148" s="97"/>
      <c r="B148" s="97"/>
    </row>
    <row r="149" spans="1:2" ht="15">
      <c r="A149" s="97"/>
      <c r="B149" s="97"/>
    </row>
    <row r="150" spans="1:2" ht="15">
      <c r="A150" s="97"/>
      <c r="B150" s="97"/>
    </row>
    <row r="151" spans="1:2" ht="15">
      <c r="A151" s="97"/>
      <c r="B151" s="97"/>
    </row>
    <row r="152" spans="1:2" ht="15">
      <c r="A152" s="97"/>
      <c r="B152" s="97"/>
    </row>
    <row r="153" spans="1:2" ht="15">
      <c r="A153" s="97"/>
      <c r="B153" s="97"/>
    </row>
    <row r="154" spans="1:2" ht="15">
      <c r="A154" s="97"/>
      <c r="B154" s="97"/>
    </row>
    <row r="155" spans="1:2" ht="15">
      <c r="A155" s="97"/>
      <c r="B155" s="97"/>
    </row>
    <row r="156" spans="1:2" ht="15">
      <c r="A156" s="97"/>
      <c r="B156" s="97"/>
    </row>
    <row r="157" spans="1:2" ht="15">
      <c r="A157" s="97"/>
      <c r="B157" s="97"/>
    </row>
    <row r="158" spans="1:2" ht="15">
      <c r="A158" s="97"/>
      <c r="B158" s="97"/>
    </row>
    <row r="159" spans="1:2" ht="15">
      <c r="A159" s="97"/>
      <c r="B159" s="97"/>
    </row>
    <row r="160" spans="1:2" ht="15">
      <c r="A160" s="97"/>
      <c r="B160" s="97"/>
    </row>
    <row r="161" spans="1:2" ht="15">
      <c r="A161" s="97"/>
      <c r="B161" s="97"/>
    </row>
    <row r="162" spans="1:2" ht="15">
      <c r="A162" s="97"/>
      <c r="B162" s="97"/>
    </row>
    <row r="163" spans="1:2" ht="15">
      <c r="A163" s="97"/>
      <c r="B163" s="97"/>
    </row>
    <row r="164" spans="1:2" ht="15">
      <c r="A164" s="97"/>
      <c r="B164" s="97"/>
    </row>
    <row r="165" spans="1:2" ht="15">
      <c r="A165" s="97"/>
      <c r="B165" s="97"/>
    </row>
    <row r="166" spans="1:2" ht="15">
      <c r="A166" s="97"/>
      <c r="B166" s="97"/>
    </row>
    <row r="167" spans="1:2" ht="15">
      <c r="A167" s="97"/>
      <c r="B167" s="97"/>
    </row>
    <row r="168" spans="1:2" ht="15">
      <c r="A168" s="97"/>
      <c r="B168" s="97"/>
    </row>
    <row r="169" spans="1:2" ht="15">
      <c r="A169" s="97"/>
      <c r="B169" s="97"/>
    </row>
    <row r="170" spans="1:2" ht="15">
      <c r="A170" s="97"/>
      <c r="B170" s="97"/>
    </row>
    <row r="171" spans="1:2" ht="15">
      <c r="A171" s="97"/>
      <c r="B171" s="97"/>
    </row>
    <row r="172" spans="1:2" ht="15">
      <c r="A172" s="97"/>
      <c r="B172" s="97"/>
    </row>
    <row r="173" spans="1:2" ht="15">
      <c r="A173" s="97"/>
      <c r="B173" s="97"/>
    </row>
    <row r="174" spans="1:2" ht="15">
      <c r="A174" s="97"/>
      <c r="B174" s="97"/>
    </row>
    <row r="175" spans="1:2" ht="15">
      <c r="A175" s="97"/>
      <c r="B175" s="97"/>
    </row>
    <row r="176" spans="1:2" ht="15">
      <c r="A176" s="97"/>
      <c r="B176" s="97"/>
    </row>
    <row r="177" spans="1:2" ht="15">
      <c r="A177" s="97"/>
      <c r="B177" s="97"/>
    </row>
    <row r="178" spans="1:2" ht="15">
      <c r="A178" s="97"/>
      <c r="B178" s="97"/>
    </row>
    <row r="179" spans="1:2" ht="15">
      <c r="A179" s="97"/>
      <c r="B179" s="97"/>
    </row>
    <row r="180" spans="1:2" ht="15">
      <c r="A180" s="97"/>
      <c r="B180" s="97"/>
    </row>
    <row r="181" spans="1:2" ht="15">
      <c r="A181" s="97"/>
      <c r="B181" s="97"/>
    </row>
    <row r="182" spans="1:2" ht="15">
      <c r="A182" s="97"/>
      <c r="B182" s="97"/>
    </row>
    <row r="183" spans="1:2" ht="15">
      <c r="A183" s="97"/>
      <c r="B183" s="97"/>
    </row>
    <row r="184" spans="1:2" ht="15">
      <c r="A184" s="97"/>
      <c r="B184" s="97"/>
    </row>
    <row r="185" spans="1:2" ht="15">
      <c r="A185" s="97"/>
      <c r="B185" s="97"/>
    </row>
    <row r="186" spans="1:2" ht="15">
      <c r="A186" s="97"/>
      <c r="B186" s="97"/>
    </row>
    <row r="187" spans="1:2" ht="15">
      <c r="A187" s="97"/>
      <c r="B187" s="97"/>
    </row>
    <row r="188" spans="1:2" ht="15">
      <c r="A188" s="97"/>
      <c r="B188" s="97"/>
    </row>
    <row r="189" spans="1:2" ht="15">
      <c r="A189" s="97"/>
      <c r="B189" s="97"/>
    </row>
    <row r="190" spans="1:2" ht="15">
      <c r="A190" s="97"/>
      <c r="B190" s="97"/>
    </row>
    <row r="191" spans="1:2" ht="15">
      <c r="A191" s="97"/>
      <c r="B191" s="97"/>
    </row>
    <row r="192" spans="1:2" ht="15">
      <c r="A192" s="97"/>
      <c r="B192" s="97"/>
    </row>
    <row r="193" spans="1:2" ht="15">
      <c r="A193" s="97"/>
      <c r="B193" s="97"/>
    </row>
    <row r="194" spans="1:2" ht="15">
      <c r="A194" s="97"/>
      <c r="B194" s="97"/>
    </row>
    <row r="195" spans="1:2" ht="15">
      <c r="A195" s="97"/>
      <c r="B195" s="97"/>
    </row>
    <row r="196" spans="1:2" ht="15">
      <c r="A196" s="97"/>
      <c r="B196" s="97"/>
    </row>
    <row r="197" spans="1:2" ht="15">
      <c r="A197" s="97"/>
      <c r="B197" s="97"/>
    </row>
    <row r="198" spans="1:2" ht="15">
      <c r="A198" s="97"/>
      <c r="B198" s="97"/>
    </row>
    <row r="199" spans="1:2" ht="15">
      <c r="A199" s="97"/>
      <c r="B199" s="97"/>
    </row>
    <row r="200" spans="1:2" ht="15">
      <c r="A200" s="97"/>
      <c r="B200" s="97"/>
    </row>
    <row r="201" spans="1:2" ht="15">
      <c r="A201" s="97"/>
      <c r="B201" s="97"/>
    </row>
    <row r="202" spans="1:2" ht="15">
      <c r="A202" s="97"/>
      <c r="B202" s="97"/>
    </row>
    <row r="203" spans="1:2" ht="15">
      <c r="A203" s="97"/>
      <c r="B203" s="97"/>
    </row>
    <row r="204" spans="1:2" ht="15">
      <c r="A204" s="97"/>
      <c r="B204" s="97"/>
    </row>
    <row r="205" spans="1:2" ht="15">
      <c r="A205" s="97"/>
      <c r="B205" s="97"/>
    </row>
    <row r="206" spans="1:2" ht="15">
      <c r="A206" s="97"/>
      <c r="B206" s="97"/>
    </row>
    <row r="207" spans="1:2" ht="15">
      <c r="A207" s="97"/>
      <c r="B207" s="97"/>
    </row>
    <row r="208" spans="1:2" ht="15">
      <c r="A208" s="97"/>
      <c r="B208" s="97"/>
    </row>
    <row r="209" spans="1:2" ht="15">
      <c r="A209" s="97"/>
      <c r="B209" s="97"/>
    </row>
    <row r="210" spans="1:2" ht="15">
      <c r="A210" s="97"/>
      <c r="B210" s="97"/>
    </row>
    <row r="211" spans="1:2" ht="15">
      <c r="A211" s="97"/>
      <c r="B211" s="97"/>
    </row>
    <row r="212" spans="1:2" ht="15">
      <c r="A212" s="97"/>
      <c r="B212" s="97"/>
    </row>
    <row r="213" spans="1:2" ht="15">
      <c r="A213" s="97"/>
      <c r="B213" s="97"/>
    </row>
    <row r="214" spans="1:2" ht="15">
      <c r="A214" s="97"/>
      <c r="B214" s="97"/>
    </row>
    <row r="215" spans="1:2" ht="15">
      <c r="A215" s="97"/>
      <c r="B215" s="97"/>
    </row>
    <row r="216" spans="1:2" ht="15">
      <c r="A216" s="97"/>
      <c r="B216" s="97"/>
    </row>
    <row r="217" spans="1:2" ht="15">
      <c r="A217" s="97"/>
      <c r="B217" s="97"/>
    </row>
    <row r="218" spans="1:2" ht="15">
      <c r="A218" s="97"/>
      <c r="B218" s="97"/>
    </row>
    <row r="219" spans="1:2" ht="15">
      <c r="A219" s="97"/>
      <c r="B219" s="97"/>
    </row>
    <row r="220" spans="1:2" ht="15">
      <c r="A220" s="97"/>
      <c r="B220" s="97"/>
    </row>
    <row r="221" spans="1:2" ht="15">
      <c r="A221" s="97"/>
      <c r="B221" s="97"/>
    </row>
    <row r="222" spans="1:2" ht="15">
      <c r="A222" s="97"/>
      <c r="B222" s="97"/>
    </row>
    <row r="223" spans="1:2" ht="15">
      <c r="A223" s="97"/>
      <c r="B223" s="97"/>
    </row>
    <row r="224" spans="1:2" ht="15">
      <c r="A224" s="97"/>
      <c r="B224" s="97"/>
    </row>
    <row r="225" spans="1:2" ht="15">
      <c r="A225" s="97"/>
      <c r="B225" s="97"/>
    </row>
    <row r="226" spans="1:2" ht="15">
      <c r="A226" s="97"/>
      <c r="B226" s="97"/>
    </row>
    <row r="227" spans="1:2" ht="15">
      <c r="A227" s="97"/>
      <c r="B227" s="97"/>
    </row>
    <row r="228" spans="1:2" ht="15">
      <c r="A228" s="97"/>
      <c r="B228" s="97"/>
    </row>
    <row r="229" spans="1:2" ht="15">
      <c r="A229" s="97"/>
      <c r="B229" s="97"/>
    </row>
    <row r="230" spans="1:2" ht="15">
      <c r="A230" s="97"/>
      <c r="B230" s="97"/>
    </row>
    <row r="231" spans="1:2" ht="15">
      <c r="A231" s="97"/>
      <c r="B231" s="97"/>
    </row>
    <row r="232" spans="1:2" ht="15">
      <c r="A232" s="97"/>
      <c r="B232" s="97"/>
    </row>
    <row r="233" spans="1:2" ht="15">
      <c r="A233" s="97"/>
      <c r="B233" s="97"/>
    </row>
    <row r="234" spans="1:2" ht="15">
      <c r="A234" s="97"/>
      <c r="B234" s="97"/>
    </row>
    <row r="235" spans="1:2" ht="15">
      <c r="A235" s="97"/>
      <c r="B235" s="97"/>
    </row>
    <row r="236" spans="1:2" ht="15">
      <c r="A236" s="97"/>
      <c r="B236" s="97"/>
    </row>
    <row r="237" spans="1:2" ht="15">
      <c r="A237" s="97"/>
      <c r="B237" s="97"/>
    </row>
    <row r="238" spans="1:2" ht="15">
      <c r="A238" s="97"/>
      <c r="B238" s="97"/>
    </row>
    <row r="239" spans="1:2" ht="15">
      <c r="A239" s="97"/>
      <c r="B239" s="97"/>
    </row>
    <row r="240" spans="1:2" ht="15">
      <c r="A240" s="97"/>
      <c r="B240" s="97"/>
    </row>
    <row r="241" spans="1:2" ht="15">
      <c r="A241" s="97"/>
      <c r="B241" s="97"/>
    </row>
    <row r="242" spans="1:2" ht="15">
      <c r="A242" s="97"/>
      <c r="B242" s="97"/>
    </row>
    <row r="243" spans="1:2" ht="15">
      <c r="A243" s="97"/>
      <c r="B243" s="97"/>
    </row>
    <row r="244" spans="1:2" ht="15">
      <c r="A244" s="97"/>
      <c r="B244" s="97"/>
    </row>
    <row r="245" spans="1:2" ht="15">
      <c r="A245" s="97"/>
      <c r="B245" s="97"/>
    </row>
    <row r="246" spans="1:2" ht="15">
      <c r="A246" s="97"/>
      <c r="B246" s="97"/>
    </row>
    <row r="247" spans="1:2" ht="15">
      <c r="A247" s="97"/>
      <c r="B247" s="97"/>
    </row>
    <row r="248" spans="1:2" ht="15">
      <c r="A248" s="97"/>
      <c r="B248" s="97"/>
    </row>
    <row r="249" spans="1:2" ht="15">
      <c r="A249" s="97"/>
      <c r="B249" s="97"/>
    </row>
    <row r="250" spans="1:2" ht="15">
      <c r="A250" s="97"/>
      <c r="B250" s="97"/>
    </row>
    <row r="251" spans="1:2" ht="15">
      <c r="A251" s="97"/>
      <c r="B251" s="97"/>
    </row>
    <row r="252" spans="1:2" ht="15">
      <c r="A252" s="97"/>
      <c r="B252" s="97"/>
    </row>
    <row r="253" spans="1:2" ht="15">
      <c r="A253" s="97"/>
      <c r="B253" s="97"/>
    </row>
    <row r="254" spans="1:2" ht="15">
      <c r="A254" s="97"/>
      <c r="B254" s="97"/>
    </row>
    <row r="255" spans="1:2" ht="15">
      <c r="A255" s="97"/>
      <c r="B255" s="97"/>
    </row>
    <row r="256" spans="1:2" ht="15">
      <c r="A256" s="97"/>
      <c r="B256" s="97"/>
    </row>
    <row r="257" spans="1:2" ht="15">
      <c r="A257" s="97"/>
      <c r="B257" s="97"/>
    </row>
    <row r="258" spans="1:2" ht="15">
      <c r="A258" s="97"/>
      <c r="B258" s="97"/>
    </row>
    <row r="259" spans="1:2" ht="15">
      <c r="A259" s="97"/>
      <c r="B259" s="97"/>
    </row>
    <row r="260" spans="1:2" ht="15">
      <c r="A260" s="97"/>
      <c r="B260" s="97"/>
    </row>
    <row r="261" spans="1:2" ht="15">
      <c r="A261" s="97"/>
      <c r="B261" s="97"/>
    </row>
    <row r="262" spans="1:2" ht="15">
      <c r="A262" s="97"/>
      <c r="B262" s="97"/>
    </row>
    <row r="263" spans="1:2" ht="15">
      <c r="A263" s="97"/>
      <c r="B263" s="97"/>
    </row>
    <row r="264" spans="1:2" ht="15">
      <c r="A264" s="97"/>
      <c r="B264" s="97"/>
    </row>
    <row r="265" spans="1:2" ht="15">
      <c r="A265" s="97"/>
      <c r="B265" s="97"/>
    </row>
    <row r="266" spans="1:2" ht="15">
      <c r="A266" s="97"/>
      <c r="B266" s="97"/>
    </row>
    <row r="267" spans="1:2" ht="15">
      <c r="A267" s="97"/>
      <c r="B267" s="97"/>
    </row>
    <row r="268" spans="1:2" ht="15">
      <c r="A268" s="97"/>
      <c r="B268" s="97"/>
    </row>
    <row r="269" spans="1:2" ht="15">
      <c r="A269" s="97"/>
      <c r="B269" s="97"/>
    </row>
    <row r="270" spans="1:2" ht="15">
      <c r="A270" s="97"/>
      <c r="B270" s="97"/>
    </row>
    <row r="271" spans="1:2" ht="15">
      <c r="A271" s="97"/>
      <c r="B271" s="97"/>
    </row>
    <row r="272" spans="1:2" ht="15">
      <c r="A272" s="97"/>
      <c r="B272" s="97"/>
    </row>
    <row r="273" spans="1:2" ht="15">
      <c r="A273" s="97"/>
      <c r="B273" s="97"/>
    </row>
    <row r="274" spans="1:2" ht="15">
      <c r="A274" s="97"/>
      <c r="B274" s="97"/>
    </row>
    <row r="275" spans="1:2" ht="15">
      <c r="A275" s="97"/>
      <c r="B275" s="97"/>
    </row>
    <row r="276" spans="1:2" ht="15">
      <c r="A276" s="97"/>
      <c r="B276" s="97"/>
    </row>
    <row r="277" spans="1:2" ht="15">
      <c r="A277" s="97"/>
      <c r="B277" s="97"/>
    </row>
    <row r="278" spans="1:2" ht="15">
      <c r="A278" s="97"/>
      <c r="B278" s="97"/>
    </row>
    <row r="279" spans="1:2" ht="15">
      <c r="A279" s="97"/>
      <c r="B279" s="97"/>
    </row>
    <row r="280" spans="1:2" ht="15">
      <c r="A280" s="97"/>
      <c r="B280" s="97"/>
    </row>
    <row r="281" spans="1:2" ht="15">
      <c r="A281" s="97"/>
      <c r="B281" s="97"/>
    </row>
    <row r="282" spans="1:2" ht="15">
      <c r="A282" s="97"/>
      <c r="B282" s="97"/>
    </row>
    <row r="283" spans="1:2" ht="15">
      <c r="A283" s="97"/>
      <c r="B283" s="97"/>
    </row>
    <row r="284" spans="1:2" ht="15">
      <c r="A284" s="97"/>
      <c r="B284" s="97"/>
    </row>
    <row r="285" spans="1:2" ht="15">
      <c r="A285" s="97"/>
      <c r="B285" s="97"/>
    </row>
    <row r="286" spans="1:2" ht="15">
      <c r="A286" s="97"/>
      <c r="B286" s="97"/>
    </row>
    <row r="287" spans="1:2" ht="15">
      <c r="A287" s="97"/>
      <c r="B287" s="97"/>
    </row>
    <row r="288" spans="1:2" ht="15">
      <c r="A288" s="97"/>
      <c r="B288" s="97"/>
    </row>
    <row r="289" spans="1:2" ht="15">
      <c r="A289" s="97"/>
      <c r="B289" s="97"/>
    </row>
    <row r="290" spans="1:2" ht="15">
      <c r="A290" s="97"/>
      <c r="B290" s="97"/>
    </row>
    <row r="291" spans="1:2" ht="15">
      <c r="A291" s="97"/>
      <c r="B291" s="97"/>
    </row>
    <row r="292" spans="1:2" ht="15">
      <c r="A292" s="97"/>
      <c r="B292" s="97"/>
    </row>
    <row r="293" spans="1:2" ht="15">
      <c r="A293" s="97"/>
      <c r="B293" s="97"/>
    </row>
    <row r="294" spans="1:2" ht="15">
      <c r="A294" s="97"/>
      <c r="B294" s="97"/>
    </row>
    <row r="295" spans="1:2" ht="15">
      <c r="A295" s="97"/>
      <c r="B295" s="97"/>
    </row>
    <row r="296" spans="1:2" ht="15">
      <c r="A296" s="97"/>
      <c r="B296" s="97"/>
    </row>
    <row r="297" spans="1:2" ht="15">
      <c r="A297" s="97"/>
      <c r="B297" s="97"/>
    </row>
    <row r="298" spans="1:2" ht="15">
      <c r="A298" s="97"/>
      <c r="B298" s="97"/>
    </row>
    <row r="299" spans="1:2" ht="15">
      <c r="A299" s="97"/>
      <c r="B299" s="97"/>
    </row>
    <row r="300" spans="1:2" ht="15">
      <c r="A300" s="97"/>
      <c r="B300" s="97"/>
    </row>
    <row r="301" spans="1:2" ht="15">
      <c r="A301" s="97"/>
      <c r="B301" s="97"/>
    </row>
    <row r="302" spans="1:2" ht="15">
      <c r="A302" s="97"/>
      <c r="B302" s="97"/>
    </row>
    <row r="303" spans="1:2" ht="15">
      <c r="A303" s="97"/>
      <c r="B303" s="97"/>
    </row>
    <row r="304" spans="1:2" ht="15">
      <c r="A304" s="97"/>
      <c r="B304" s="97"/>
    </row>
    <row r="305" spans="1:2" ht="15">
      <c r="A305" s="97"/>
      <c r="B305" s="97"/>
    </row>
    <row r="306" spans="1:2" ht="15">
      <c r="A306" s="97"/>
      <c r="B306" s="97"/>
    </row>
    <row r="307" spans="1:2" ht="15">
      <c r="A307" s="97"/>
      <c r="B307" s="97"/>
    </row>
    <row r="308" spans="1:2" ht="15">
      <c r="A308" s="97"/>
      <c r="B308" s="97"/>
    </row>
    <row r="309" spans="1:2" ht="15">
      <c r="A309" s="97"/>
      <c r="B309" s="97"/>
    </row>
    <row r="310" spans="1:2" ht="15">
      <c r="A310" s="97"/>
      <c r="B310" s="97"/>
    </row>
    <row r="311" spans="1:2" ht="15">
      <c r="A311" s="97"/>
      <c r="B311" s="97"/>
    </row>
    <row r="312" spans="1:2" ht="15">
      <c r="A312" s="97"/>
      <c r="B312" s="97"/>
    </row>
    <row r="313" spans="1:2" ht="15">
      <c r="A313" s="97"/>
      <c r="B313" s="97"/>
    </row>
    <row r="314" spans="1:2" ht="15">
      <c r="A314" s="97"/>
      <c r="B314" s="97"/>
    </row>
    <row r="315" spans="1:2" ht="15">
      <c r="A315" s="97"/>
      <c r="B315" s="97"/>
    </row>
    <row r="316" spans="1:2" ht="15">
      <c r="A316" s="97"/>
      <c r="B316" s="97"/>
    </row>
    <row r="317" spans="1:2" ht="15">
      <c r="A317" s="97"/>
      <c r="B317" s="97"/>
    </row>
    <row r="318" spans="1:2" ht="15">
      <c r="A318" s="97"/>
      <c r="B318" s="97"/>
    </row>
    <row r="319" spans="1:2" ht="15">
      <c r="A319" s="97"/>
      <c r="B319" s="97"/>
    </row>
    <row r="320" spans="1:2" ht="15">
      <c r="A320" s="97"/>
      <c r="B320" s="97"/>
    </row>
    <row r="321" spans="1:2" ht="15">
      <c r="A321" s="97"/>
      <c r="B321" s="97"/>
    </row>
    <row r="322" spans="1:2" ht="15">
      <c r="A322" s="97"/>
      <c r="B322" s="97"/>
    </row>
    <row r="323" spans="1:2" ht="15">
      <c r="A323" s="97"/>
      <c r="B323" s="97"/>
    </row>
    <row r="324" spans="1:2" ht="15">
      <c r="A324" s="97"/>
      <c r="B324" s="97"/>
    </row>
    <row r="325" spans="1:2" ht="15">
      <c r="A325" s="97"/>
      <c r="B325" s="97"/>
    </row>
    <row r="326" spans="1:2" ht="15">
      <c r="A326" s="97"/>
      <c r="B326" s="97"/>
    </row>
    <row r="327" spans="1:2" ht="15">
      <c r="A327" s="97"/>
      <c r="B327" s="97"/>
    </row>
    <row r="328" spans="1:2" ht="15">
      <c r="A328" s="97"/>
      <c r="B328" s="97"/>
    </row>
    <row r="329" spans="1:2" ht="15">
      <c r="A329" s="97"/>
      <c r="B329" s="97"/>
    </row>
    <row r="330" spans="1:2" ht="15">
      <c r="A330" s="97"/>
      <c r="B330" s="97"/>
    </row>
    <row r="331" spans="1:2" ht="15">
      <c r="A331" s="97"/>
      <c r="B331" s="97"/>
    </row>
    <row r="332" spans="1:2" ht="15">
      <c r="A332" s="97"/>
      <c r="B332" s="97"/>
    </row>
    <row r="333" spans="1:2" ht="15">
      <c r="A333" s="97"/>
      <c r="B333" s="97"/>
    </row>
    <row r="334" spans="1:2" ht="15">
      <c r="A334" s="97"/>
      <c r="B334" s="97"/>
    </row>
    <row r="335" spans="1:2" ht="15">
      <c r="A335" s="97"/>
      <c r="B335" s="97"/>
    </row>
    <row r="336" spans="1:2" ht="15">
      <c r="A336" s="97"/>
      <c r="B336" s="97"/>
    </row>
    <row r="337" spans="1:2" ht="15">
      <c r="A337" s="97"/>
      <c r="B337" s="97"/>
    </row>
    <row r="338" spans="1:2" ht="15">
      <c r="A338" s="97"/>
      <c r="B338" s="97"/>
    </row>
    <row r="339" spans="1:2" ht="15">
      <c r="A339" s="97"/>
      <c r="B339" s="97"/>
    </row>
    <row r="340" spans="1:2" ht="15">
      <c r="A340" s="97"/>
      <c r="B340" s="97"/>
    </row>
    <row r="341" spans="1:2" ht="15">
      <c r="A341" s="97"/>
      <c r="B341" s="97"/>
    </row>
    <row r="342" spans="1:2" ht="15">
      <c r="A342" s="97"/>
      <c r="B342" s="97"/>
    </row>
    <row r="343" spans="1:2" ht="15">
      <c r="A343" s="97"/>
      <c r="B343" s="97"/>
    </row>
    <row r="344" spans="1:2" ht="15">
      <c r="A344" s="97"/>
      <c r="B344" s="97"/>
    </row>
    <row r="345" spans="1:2" ht="15">
      <c r="A345" s="97"/>
      <c r="B345" s="97"/>
    </row>
    <row r="346" spans="1:2" ht="15">
      <c r="A346" s="97"/>
      <c r="B346" s="97"/>
    </row>
    <row r="347" spans="1:2" ht="15">
      <c r="A347" s="97"/>
      <c r="B347" s="97"/>
    </row>
    <row r="348" spans="1:2" ht="15">
      <c r="A348" s="97"/>
      <c r="B348" s="97"/>
    </row>
    <row r="349" spans="1:2" ht="15">
      <c r="A349" s="97"/>
      <c r="B349" s="97"/>
    </row>
    <row r="350" spans="1:2" ht="15">
      <c r="A350" s="97"/>
      <c r="B350" s="97"/>
    </row>
    <row r="351" spans="1:2" ht="15">
      <c r="A351" s="97"/>
      <c r="B351" s="97"/>
    </row>
    <row r="352" spans="1:2" ht="15">
      <c r="A352" s="97"/>
      <c r="B352" s="97"/>
    </row>
    <row r="353" spans="1:2" ht="15">
      <c r="A353" s="97"/>
      <c r="B353" s="97"/>
    </row>
    <row r="354" spans="1:2" ht="15">
      <c r="A354" s="97"/>
      <c r="B354" s="97"/>
    </row>
    <row r="355" spans="1:2" ht="15">
      <c r="A355" s="97"/>
      <c r="B355" s="97"/>
    </row>
    <row r="356" spans="1:2" ht="15">
      <c r="A356" s="97"/>
      <c r="B356" s="97"/>
    </row>
    <row r="357" spans="1:2" ht="15">
      <c r="A357" s="97"/>
      <c r="B357" s="97"/>
    </row>
    <row r="358" spans="1:2" ht="15">
      <c r="A358" s="97"/>
      <c r="B358" s="97"/>
    </row>
    <row r="359" spans="1:2" ht="15">
      <c r="A359" s="97"/>
      <c r="B359" s="97"/>
    </row>
    <row r="360" spans="1:2" ht="15">
      <c r="A360" s="97"/>
      <c r="B360" s="97"/>
    </row>
    <row r="361" spans="1:2" ht="15">
      <c r="A361" s="97"/>
      <c r="B361" s="97"/>
    </row>
    <row r="362" spans="1:2" ht="15">
      <c r="A362" s="97"/>
      <c r="B362" s="97"/>
    </row>
    <row r="363" spans="1:2" ht="15">
      <c r="A363" s="97"/>
      <c r="B363" s="97"/>
    </row>
    <row r="364" spans="1:2" ht="15">
      <c r="A364" s="97"/>
      <c r="B364" s="97"/>
    </row>
    <row r="365" spans="1:2" ht="15">
      <c r="A365" s="97"/>
      <c r="B365" s="97"/>
    </row>
    <row r="366" spans="1:2" ht="15">
      <c r="A366" s="97"/>
      <c r="B366" s="97"/>
    </row>
    <row r="367" spans="1:2" ht="15">
      <c r="A367" s="97"/>
      <c r="B367" s="97"/>
    </row>
    <row r="368" spans="1:2" ht="15">
      <c r="A368" s="97"/>
      <c r="B368" s="97"/>
    </row>
    <row r="369" spans="1:2" ht="15">
      <c r="A369" s="97"/>
      <c r="B369" s="97"/>
    </row>
    <row r="370" spans="1:2" ht="15">
      <c r="A370" s="97"/>
      <c r="B370" s="97"/>
    </row>
    <row r="371" spans="1:2" ht="15">
      <c r="A371" s="97"/>
      <c r="B371" s="97"/>
    </row>
    <row r="372" spans="1:2" ht="15">
      <c r="A372" s="97"/>
      <c r="B372" s="97"/>
    </row>
    <row r="373" spans="1:2" ht="15">
      <c r="A373" s="97"/>
      <c r="B373" s="97"/>
    </row>
    <row r="374" spans="1:2" ht="15">
      <c r="A374" s="97"/>
      <c r="B374" s="97"/>
    </row>
    <row r="375" spans="1:2" ht="15">
      <c r="A375" s="97"/>
      <c r="B375" s="97"/>
    </row>
    <row r="376" spans="1:2" ht="15">
      <c r="A376" s="97"/>
      <c r="B376" s="97"/>
    </row>
    <row r="377" spans="1:2" ht="15">
      <c r="A377" s="97"/>
      <c r="B377" s="97"/>
    </row>
    <row r="378" spans="1:2" ht="15">
      <c r="A378" s="97"/>
      <c r="B378" s="97"/>
    </row>
    <row r="379" spans="1:2" ht="15">
      <c r="A379" s="97"/>
      <c r="B379" s="97"/>
    </row>
    <row r="380" spans="1:2" ht="15">
      <c r="A380" s="97"/>
      <c r="B380" s="97"/>
    </row>
    <row r="381" spans="1:2" ht="15">
      <c r="A381" s="97"/>
      <c r="B381" s="97"/>
    </row>
    <row r="382" spans="1:2" ht="15">
      <c r="A382" s="97"/>
      <c r="B382" s="97"/>
    </row>
    <row r="383" spans="1:2" ht="15">
      <c r="A383" s="97"/>
      <c r="B383" s="97"/>
    </row>
    <row r="384" spans="1:2" ht="15">
      <c r="A384" s="97"/>
      <c r="B384" s="97"/>
    </row>
    <row r="385" spans="1:2" ht="15">
      <c r="A385" s="97"/>
      <c r="B385" s="97"/>
    </row>
    <row r="386" spans="1:2" ht="15">
      <c r="A386" s="97"/>
      <c r="B386" s="97"/>
    </row>
    <row r="387" spans="1:2" ht="15">
      <c r="A387" s="97"/>
      <c r="B387" s="97"/>
    </row>
    <row r="388" spans="1:2" ht="15">
      <c r="A388" s="97"/>
      <c r="B388" s="97"/>
    </row>
    <row r="389" spans="1:2" ht="15">
      <c r="A389" s="97"/>
      <c r="B389" s="97"/>
    </row>
    <row r="390" spans="1:2" ht="15">
      <c r="A390" s="97"/>
      <c r="B390" s="97"/>
    </row>
    <row r="391" spans="1:2" ht="15">
      <c r="A391" s="97"/>
      <c r="B391" s="97"/>
    </row>
    <row r="392" spans="1:2" ht="15">
      <c r="A392" s="97"/>
      <c r="B392" s="97"/>
    </row>
    <row r="393" spans="1:2" ht="15">
      <c r="A393" s="97"/>
      <c r="B393" s="97"/>
    </row>
    <row r="394" spans="1:2" ht="15">
      <c r="A394" s="97"/>
      <c r="B394" s="97"/>
    </row>
    <row r="395" spans="1:2" ht="15">
      <c r="A395" s="97"/>
      <c r="B395" s="97"/>
    </row>
    <row r="396" spans="1:2" ht="15">
      <c r="A396" s="97"/>
      <c r="B396" s="97"/>
    </row>
    <row r="397" spans="1:2" ht="15">
      <c r="A397" s="97"/>
      <c r="B397" s="97"/>
    </row>
    <row r="398" spans="1:2" ht="15">
      <c r="A398" s="97"/>
      <c r="B398" s="97"/>
    </row>
    <row r="399" spans="1:2" ht="15">
      <c r="A399" s="97"/>
      <c r="B399" s="97"/>
    </row>
    <row r="400" spans="1:2" ht="15">
      <c r="A400" s="97"/>
      <c r="B400" s="97"/>
    </row>
    <row r="401" spans="1:2" ht="15">
      <c r="A401" s="97"/>
      <c r="B401" s="97"/>
    </row>
    <row r="402" spans="1:2" ht="15">
      <c r="A402" s="97"/>
      <c r="B402" s="97"/>
    </row>
    <row r="403" spans="1:2" ht="15">
      <c r="A403" s="97"/>
      <c r="B403" s="97"/>
    </row>
    <row r="404" spans="1:2" ht="15">
      <c r="A404" s="97"/>
      <c r="B404" s="97"/>
    </row>
    <row r="405" spans="1:2" ht="15">
      <c r="A405" s="97"/>
      <c r="B405" s="97"/>
    </row>
    <row r="406" spans="1:2" ht="15">
      <c r="A406" s="97"/>
      <c r="B406" s="97"/>
    </row>
    <row r="407" spans="1:2" ht="15">
      <c r="A407" s="97"/>
      <c r="B407" s="97"/>
    </row>
    <row r="408" spans="1:2" ht="15">
      <c r="A408" s="97"/>
      <c r="B408" s="97"/>
    </row>
    <row r="409" spans="1:2" ht="15">
      <c r="A409" s="97"/>
      <c r="B409" s="97"/>
    </row>
    <row r="410" spans="1:2" ht="15">
      <c r="A410" s="97"/>
      <c r="B410" s="97"/>
    </row>
    <row r="411" spans="1:2" ht="15">
      <c r="A411" s="97"/>
      <c r="B411" s="97"/>
    </row>
    <row r="412" spans="1:2" ht="15">
      <c r="A412" s="97"/>
      <c r="B412" s="97"/>
    </row>
    <row r="413" spans="1:2" ht="15">
      <c r="A413" s="97"/>
      <c r="B413" s="97"/>
    </row>
    <row r="414" spans="1:2" ht="15">
      <c r="A414" s="97"/>
      <c r="B414" s="97"/>
    </row>
    <row r="415" spans="1:2" ht="15">
      <c r="A415" s="97"/>
      <c r="B415" s="97"/>
    </row>
    <row r="416" spans="1:2" ht="15">
      <c r="A416" s="97"/>
      <c r="B416" s="97"/>
    </row>
    <row r="417" spans="1:2" ht="15">
      <c r="A417" s="97"/>
      <c r="B417" s="97"/>
    </row>
    <row r="418" spans="1:2" ht="15">
      <c r="A418" s="97"/>
      <c r="B418" s="97"/>
    </row>
    <row r="419" spans="1:2" ht="15">
      <c r="A419" s="97"/>
      <c r="B419" s="97"/>
    </row>
    <row r="420" spans="1:2" ht="15">
      <c r="A420" s="97"/>
      <c r="B420" s="97"/>
    </row>
    <row r="421" spans="1:2" ht="15">
      <c r="A421" s="97"/>
      <c r="B421" s="97"/>
    </row>
    <row r="422" spans="1:2" ht="15">
      <c r="A422" s="97"/>
      <c r="B422" s="97"/>
    </row>
    <row r="423" spans="1:2" ht="15">
      <c r="A423" s="97"/>
      <c r="B423" s="97"/>
    </row>
    <row r="424" spans="1:2" ht="15">
      <c r="A424" s="97"/>
      <c r="B424" s="97"/>
    </row>
    <row r="425" spans="1:2" ht="15">
      <c r="A425" s="97"/>
      <c r="B425" s="97"/>
    </row>
    <row r="426" spans="1:2" ht="15">
      <c r="A426" s="97"/>
      <c r="B426" s="97"/>
    </row>
    <row r="427" spans="1:2" ht="15">
      <c r="A427" s="97"/>
      <c r="B427" s="97"/>
    </row>
    <row r="428" spans="1:2" ht="15">
      <c r="A428" s="97"/>
      <c r="B428" s="97"/>
    </row>
    <row r="429" spans="1:2" ht="15">
      <c r="A429" s="97"/>
      <c r="B429" s="97"/>
    </row>
    <row r="430" spans="1:2" ht="15">
      <c r="A430" s="97"/>
      <c r="B430" s="97"/>
    </row>
    <row r="431" spans="1:2" ht="15">
      <c r="A431" s="97"/>
      <c r="B431" s="97"/>
    </row>
    <row r="432" spans="1:2" ht="15">
      <c r="A432" s="97"/>
      <c r="B432" s="97"/>
    </row>
    <row r="433" spans="1:2" ht="15">
      <c r="A433" s="97"/>
      <c r="B433" s="97"/>
    </row>
    <row r="434" spans="1:2" ht="15">
      <c r="A434" s="97"/>
      <c r="B434" s="97"/>
    </row>
    <row r="435" spans="1:2" ht="15">
      <c r="A435" s="97"/>
      <c r="B435" s="97"/>
    </row>
    <row r="436" spans="1:2" ht="15">
      <c r="A436" s="97"/>
      <c r="B436" s="97"/>
    </row>
    <row r="437" spans="1:2" ht="15">
      <c r="A437" s="97"/>
      <c r="B437" s="97"/>
    </row>
    <row r="438" spans="1:2" ht="15">
      <c r="A438" s="97"/>
      <c r="B438" s="97"/>
    </row>
    <row r="439" spans="1:2" ht="15">
      <c r="A439" s="97"/>
      <c r="B439" s="97"/>
    </row>
    <row r="440" spans="1:2" ht="15">
      <c r="A440" s="97"/>
      <c r="B440" s="97"/>
    </row>
    <row r="441" spans="1:2" ht="15">
      <c r="A441" s="97"/>
      <c r="B441" s="97"/>
    </row>
    <row r="442" spans="1:2" ht="15">
      <c r="A442" s="97"/>
      <c r="B442" s="97"/>
    </row>
    <row r="443" spans="1:2" ht="15">
      <c r="A443" s="97"/>
      <c r="B443" s="97"/>
    </row>
    <row r="444" spans="1:2" ht="15">
      <c r="A444" s="97"/>
      <c r="B444" s="97"/>
    </row>
    <row r="445" spans="1:2" ht="15">
      <c r="A445" s="97"/>
      <c r="B445" s="97"/>
    </row>
  </sheetData>
  <sheetProtection sheet="1" objects="1" scenarios="1"/>
  <mergeCells count="7">
    <mergeCell ref="E13:F13"/>
    <mergeCell ref="E14:F14"/>
    <mergeCell ref="E15:F15"/>
    <mergeCell ref="O1:P1"/>
    <mergeCell ref="E9:F9"/>
    <mergeCell ref="E10:F10"/>
    <mergeCell ref="E12:F12"/>
  </mergeCells>
  <printOptions/>
  <pageMargins left="0.75" right="0.75" top="1" bottom="1" header="0.5" footer="0.5"/>
  <pageSetup horizontalDpi="600" verticalDpi="600" orientation="portrait" r:id="rId2"/>
  <headerFooter alignWithMargins="0">
    <oddFooter>&amp;CPrinted on &amp;D &amp;T</oddFooter>
  </headerFooter>
  <legacyDrawing r:id="rId1"/>
</worksheet>
</file>

<file path=xl/worksheets/sheet3.xml><?xml version="1.0" encoding="utf-8"?>
<worksheet xmlns="http://schemas.openxmlformats.org/spreadsheetml/2006/main" xmlns:r="http://schemas.openxmlformats.org/officeDocument/2006/relationships">
  <sheetPr codeName="Sheet2" transitionEvaluation="1" transitionEntry="1"/>
  <dimension ref="A1:G41"/>
  <sheetViews>
    <sheetView showGridLines="0" workbookViewId="0" topLeftCell="A1">
      <selection activeCell="B8" sqref="B8"/>
    </sheetView>
  </sheetViews>
  <sheetFormatPr defaultColWidth="11.00390625" defaultRowHeight="12.75"/>
  <cols>
    <col min="1" max="1" width="23.57421875" style="66" customWidth="1"/>
    <col min="2" max="3" width="11.00390625" style="66" customWidth="1"/>
    <col min="4" max="4" width="13.421875" style="66" customWidth="1"/>
    <col min="5" max="16384" width="11.00390625" style="66" customWidth="1"/>
  </cols>
  <sheetData>
    <row r="1" spans="1:6" ht="12">
      <c r="A1" s="65"/>
      <c r="F1" s="67"/>
    </row>
    <row r="2" ht="12.75">
      <c r="A2" s="68" t="s">
        <v>0</v>
      </c>
    </row>
    <row r="3" spans="1:6" ht="12">
      <c r="A3" s="69"/>
      <c r="B3" s="69"/>
      <c r="C3" s="69"/>
      <c r="D3" s="69"/>
      <c r="E3" s="69"/>
      <c r="F3" s="69"/>
    </row>
    <row r="4" spans="1:7" ht="12.75">
      <c r="A4" s="102" t="s">
        <v>130</v>
      </c>
      <c r="B4" s="137" t="s">
        <v>234</v>
      </c>
      <c r="C4" s="137" t="s">
        <v>235</v>
      </c>
      <c r="D4" s="70"/>
      <c r="E4" s="70"/>
      <c r="F4" s="70"/>
      <c r="G4" s="70"/>
    </row>
    <row r="5" spans="1:7" ht="12.75">
      <c r="A5" s="71" t="s">
        <v>131</v>
      </c>
      <c r="B5" s="138">
        <v>141.3</v>
      </c>
      <c r="C5" s="139">
        <v>88.4</v>
      </c>
      <c r="D5" s="70"/>
      <c r="E5" s="70"/>
      <c r="F5" s="70"/>
      <c r="G5" s="70"/>
    </row>
    <row r="6" spans="1:7" ht="12.75">
      <c r="A6" s="71" t="s">
        <v>132</v>
      </c>
      <c r="B6" s="140">
        <v>6</v>
      </c>
      <c r="C6" s="141">
        <v>8</v>
      </c>
      <c r="D6" s="70"/>
      <c r="E6" s="70"/>
      <c r="F6" s="70"/>
      <c r="G6" s="70"/>
    </row>
    <row r="7" spans="1:7" ht="12.75">
      <c r="A7" s="71" t="s">
        <v>133</v>
      </c>
      <c r="B7" s="140">
        <v>51.2</v>
      </c>
      <c r="C7" s="141">
        <v>18.7</v>
      </c>
      <c r="D7" s="70"/>
      <c r="E7" s="70"/>
      <c r="F7" s="70"/>
      <c r="G7" s="70"/>
    </row>
    <row r="8" spans="1:7" ht="12.75">
      <c r="A8" s="71" t="s">
        <v>134</v>
      </c>
      <c r="B8" s="142"/>
      <c r="C8" s="143"/>
      <c r="D8" s="70"/>
      <c r="E8" s="70"/>
      <c r="F8" s="70" t="s">
        <v>137</v>
      </c>
      <c r="G8" s="70"/>
    </row>
    <row r="9" spans="1:7" ht="12.75">
      <c r="A9" s="70"/>
      <c r="B9" s="70"/>
      <c r="C9" s="70"/>
      <c r="D9" s="70"/>
      <c r="E9" s="70"/>
      <c r="F9" s="70" t="s">
        <v>135</v>
      </c>
      <c r="G9" s="70"/>
    </row>
    <row r="10" spans="1:7" ht="12.75">
      <c r="A10" s="71" t="s">
        <v>1</v>
      </c>
      <c r="B10" s="72">
        <f>IF(ISBLANK(B7),B8*SQRT(B6),B7)</f>
        <v>51.2</v>
      </c>
      <c r="C10" s="72">
        <f>IF(ISBLANK(C7),C8*SQRT(C6),C7)</f>
        <v>18.7</v>
      </c>
      <c r="D10" s="70"/>
      <c r="E10" s="70"/>
      <c r="F10" s="70"/>
      <c r="G10" s="70"/>
    </row>
    <row r="11" spans="1:7" ht="12.75">
      <c r="A11" s="71" t="s">
        <v>2</v>
      </c>
      <c r="B11" s="73">
        <f>B10^2*(B6-1)</f>
        <v>13107.200000000003</v>
      </c>
      <c r="C11" s="73">
        <f>C10^2*(C6-1)</f>
        <v>2447.83</v>
      </c>
      <c r="D11" s="70"/>
      <c r="E11" s="70"/>
      <c r="F11" s="70" t="s">
        <v>138</v>
      </c>
      <c r="G11" s="70"/>
    </row>
    <row r="12" spans="1:7" ht="12.75">
      <c r="A12" s="71" t="s">
        <v>3</v>
      </c>
      <c r="B12" s="74">
        <f>(B11+C11)/(B6+C6-2)</f>
        <v>1296.2525000000003</v>
      </c>
      <c r="C12" s="75"/>
      <c r="D12" s="70"/>
      <c r="E12" s="70"/>
      <c r="F12" s="70" t="s">
        <v>136</v>
      </c>
      <c r="G12" s="70"/>
    </row>
    <row r="13" spans="1:7" ht="12.75">
      <c r="A13" s="71" t="s">
        <v>4</v>
      </c>
      <c r="B13" s="76">
        <f>ABS(B5-C5)</f>
        <v>52.900000000000006</v>
      </c>
      <c r="C13" s="77"/>
      <c r="D13" s="70"/>
      <c r="E13" s="70"/>
      <c r="F13" s="70"/>
      <c r="G13" s="70"/>
    </row>
    <row r="14" spans="1:7" ht="12.75">
      <c r="A14" s="71" t="s">
        <v>5</v>
      </c>
      <c r="B14" s="78">
        <f>SQRT(B12*((1/B6)+(1/C6)))</f>
        <v>19.44411596944776</v>
      </c>
      <c r="C14" s="77"/>
      <c r="D14" s="70"/>
      <c r="E14" s="70"/>
      <c r="F14" s="70"/>
      <c r="G14" s="70"/>
    </row>
    <row r="15" spans="1:7" ht="12.75">
      <c r="A15" s="71" t="s">
        <v>6</v>
      </c>
      <c r="B15" s="79">
        <f>ABS(B13/B14)</f>
        <v>2.7206173879604996</v>
      </c>
      <c r="C15" s="77"/>
      <c r="D15" s="70"/>
      <c r="E15" s="70"/>
      <c r="F15" s="70"/>
      <c r="G15" s="70"/>
    </row>
    <row r="16" spans="1:7" ht="12.75">
      <c r="A16" s="71" t="s">
        <v>7</v>
      </c>
      <c r="B16" s="76">
        <f>B6+C6-2</f>
        <v>12</v>
      </c>
      <c r="C16" s="77"/>
      <c r="D16" s="70"/>
      <c r="E16" s="70"/>
      <c r="F16" s="70"/>
      <c r="G16" s="70"/>
    </row>
    <row r="17" spans="1:7" ht="12.75">
      <c r="A17" s="71"/>
      <c r="B17" s="70"/>
      <c r="C17" s="80"/>
      <c r="D17" s="70"/>
      <c r="E17" s="70"/>
      <c r="F17" s="70"/>
      <c r="G17" s="70"/>
    </row>
    <row r="18" spans="1:7" ht="12.75">
      <c r="A18" s="81" t="s">
        <v>8</v>
      </c>
      <c r="B18" s="82">
        <f>TDIST($B$15,$B$16,1)</f>
        <v>0.009293275397307628</v>
      </c>
      <c r="C18" s="83" t="s">
        <v>9</v>
      </c>
      <c r="E18" s="84">
        <f>$B$14*TINV(0.1,$B$16)</f>
        <v>34.655005766547426</v>
      </c>
      <c r="G18" s="70"/>
    </row>
    <row r="19" spans="1:7" ht="12.75">
      <c r="A19" s="81" t="s">
        <v>10</v>
      </c>
      <c r="B19" s="82">
        <f>TDIST($B$15,$B$16,2)</f>
        <v>0.018586550794615256</v>
      </c>
      <c r="C19" s="83" t="s">
        <v>9</v>
      </c>
      <c r="E19" s="84">
        <f>$B$14*TINV(0.05,$B$16)</f>
        <v>42.365089287117954</v>
      </c>
      <c r="G19" s="70"/>
    </row>
    <row r="20" spans="1:7" ht="12.75">
      <c r="A20" s="71"/>
      <c r="B20" s="80"/>
      <c r="C20" s="71"/>
      <c r="D20" s="85"/>
      <c r="E20" s="70"/>
      <c r="F20" s="70"/>
      <c r="G20" s="70"/>
    </row>
    <row r="21" spans="1:4" ht="12">
      <c r="A21" s="86"/>
      <c r="C21" s="86"/>
      <c r="D21" s="87"/>
    </row>
    <row r="22" spans="1:4" ht="12.75">
      <c r="A22" s="83" t="s">
        <v>213</v>
      </c>
      <c r="B22" s="88"/>
      <c r="C22" s="86"/>
      <c r="D22" s="87"/>
    </row>
    <row r="23" spans="1:4" ht="12">
      <c r="A23" s="86"/>
      <c r="B23" s="88"/>
      <c r="C23" s="86"/>
      <c r="D23" s="87"/>
    </row>
    <row r="24" spans="1:4" ht="12">
      <c r="A24" s="86"/>
      <c r="B24" s="88"/>
      <c r="C24" s="86"/>
      <c r="D24" s="87"/>
    </row>
    <row r="25" spans="1:4" ht="12">
      <c r="A25" s="86"/>
      <c r="B25" s="88"/>
      <c r="C25" s="86"/>
      <c r="D25" s="87"/>
    </row>
    <row r="26" spans="1:6" ht="12">
      <c r="A26" s="69"/>
      <c r="B26" s="69"/>
      <c r="C26" s="69"/>
      <c r="D26" s="69"/>
      <c r="E26" s="69"/>
      <c r="F26" s="69"/>
    </row>
    <row r="27" ht="12">
      <c r="B27" s="89"/>
    </row>
    <row r="28" ht="12">
      <c r="B28" s="89"/>
    </row>
    <row r="29" ht="12">
      <c r="B29" s="89"/>
    </row>
    <row r="30" ht="12">
      <c r="B30" s="89"/>
    </row>
    <row r="31" ht="12">
      <c r="B31" s="89"/>
    </row>
    <row r="32" ht="12">
      <c r="B32" s="89"/>
    </row>
    <row r="33" ht="12">
      <c r="B33" s="89"/>
    </row>
    <row r="34" ht="12">
      <c r="B34" s="89"/>
    </row>
    <row r="35" ht="12">
      <c r="B35" s="89"/>
    </row>
    <row r="36" ht="12">
      <c r="B36" s="89"/>
    </row>
    <row r="37" ht="12">
      <c r="B37" s="89"/>
    </row>
    <row r="38" ht="12">
      <c r="B38" s="89"/>
    </row>
    <row r="39" ht="12">
      <c r="B39" s="89"/>
    </row>
    <row r="40" ht="12">
      <c r="B40" s="89"/>
    </row>
    <row r="41" ht="12">
      <c r="B41" s="89"/>
    </row>
  </sheetData>
  <sheetProtection sheet="1" objects="1" scenarios="1"/>
  <printOptions/>
  <pageMargins left="0.75" right="0.75" top="1" bottom="1" header="0.5" footer="0.5"/>
  <pageSetup horizontalDpi="300" verticalDpi="300" orientation="portrait" r:id="rId2"/>
  <headerFooter alignWithMargins="0">
    <oddFooter>&amp;CPrinted on &amp;D &amp;T</oddFooter>
  </headerFooter>
  <legacyDrawing r:id="rId1"/>
</worksheet>
</file>

<file path=xl/worksheets/sheet4.xml><?xml version="1.0" encoding="utf-8"?>
<worksheet xmlns="http://schemas.openxmlformats.org/spreadsheetml/2006/main" xmlns:r="http://schemas.openxmlformats.org/officeDocument/2006/relationships">
  <sheetPr codeName="Sheet3" transitionEvaluation="1" transitionEntry="1"/>
  <dimension ref="A1:N112"/>
  <sheetViews>
    <sheetView showGridLines="0" workbookViewId="0" topLeftCell="A1">
      <selection activeCell="H16" sqref="H16"/>
    </sheetView>
  </sheetViews>
  <sheetFormatPr defaultColWidth="11.00390625" defaultRowHeight="12.75"/>
  <cols>
    <col min="1" max="1" width="5.140625" style="34" customWidth="1"/>
    <col min="2" max="2" width="13.8515625" style="34" customWidth="1"/>
    <col min="3" max="4" width="12.57421875" style="34" customWidth="1"/>
    <col min="5" max="5" width="12.28125" style="34" customWidth="1"/>
    <col min="6" max="6" width="8.421875" style="34" customWidth="1"/>
    <col min="7" max="7" width="9.8515625" style="34" customWidth="1"/>
    <col min="8" max="8" width="8.421875" style="34" customWidth="1"/>
    <col min="9" max="9" width="6.57421875" style="34" customWidth="1"/>
    <col min="10" max="10" width="15.421875" style="10" customWidth="1"/>
    <col min="11" max="13" width="11.00390625" style="10" customWidth="1"/>
    <col min="14" max="14" width="15.140625" style="10" customWidth="1"/>
    <col min="15" max="26" width="11.00390625" style="10" customWidth="1"/>
    <col min="27" max="16384" width="11.00390625" style="10" customWidth="1"/>
  </cols>
  <sheetData>
    <row r="1" spans="1:9" s="5" customFormat="1" ht="15">
      <c r="A1" s="1" t="s">
        <v>11</v>
      </c>
      <c r="B1" s="2"/>
      <c r="C1" s="2"/>
      <c r="D1" s="3"/>
      <c r="E1"/>
      <c r="F1" s="2"/>
      <c r="G1" s="2"/>
      <c r="H1" s="2"/>
      <c r="I1" s="2"/>
    </row>
    <row r="2" spans="1:9" s="5" customFormat="1" ht="14.25">
      <c r="A2" s="4" t="s">
        <v>12</v>
      </c>
      <c r="B2" s="2"/>
      <c r="C2" s="2"/>
      <c r="D2" s="3"/>
      <c r="E2" s="4"/>
      <c r="F2" s="2"/>
      <c r="G2" s="2"/>
      <c r="H2" s="2"/>
      <c r="I2" s="2"/>
    </row>
    <row r="3" spans="1:9" s="9" customFormat="1" ht="11.25">
      <c r="A3" s="6"/>
      <c r="B3" s="7"/>
      <c r="C3" s="8"/>
      <c r="D3" s="7"/>
      <c r="E3" s="8"/>
      <c r="F3" s="8"/>
      <c r="G3" s="8"/>
      <c r="H3" s="8"/>
      <c r="I3" s="8"/>
    </row>
    <row r="4" spans="1:12" s="5" customFormat="1" ht="14.25">
      <c r="A4" s="4" t="s">
        <v>13</v>
      </c>
      <c r="B4" s="2"/>
      <c r="C4" s="2"/>
      <c r="D4" s="2"/>
      <c r="E4" s="2"/>
      <c r="F4" s="2"/>
      <c r="G4" s="2"/>
      <c r="H4" s="2"/>
      <c r="I4" s="2"/>
      <c r="L4" s="10"/>
    </row>
    <row r="5" spans="1:9" s="5" customFormat="1" ht="14.25">
      <c r="A5" s="4" t="s">
        <v>14</v>
      </c>
      <c r="B5" s="2"/>
      <c r="C5" s="2"/>
      <c r="D5" s="2"/>
      <c r="E5" s="2"/>
      <c r="F5" s="2"/>
      <c r="G5" s="2"/>
      <c r="H5" s="2"/>
      <c r="I5" s="2"/>
    </row>
    <row r="6" spans="1:9" s="5" customFormat="1" ht="14.25">
      <c r="A6" s="4" t="s">
        <v>15</v>
      </c>
      <c r="B6" s="2"/>
      <c r="C6" s="2"/>
      <c r="D6" s="2"/>
      <c r="E6" s="2"/>
      <c r="F6" s="2"/>
      <c r="G6" s="2"/>
      <c r="H6" s="2"/>
      <c r="I6" s="2"/>
    </row>
    <row r="7" spans="1:14" s="5" customFormat="1" ht="15">
      <c r="A7" s="4" t="s">
        <v>16</v>
      </c>
      <c r="B7" s="2"/>
      <c r="C7" s="2"/>
      <c r="D7" s="2"/>
      <c r="E7" s="2"/>
      <c r="F7" s="2"/>
      <c r="G7" s="11" t="s">
        <v>17</v>
      </c>
      <c r="H7" s="12" t="s">
        <v>18</v>
      </c>
      <c r="I7" s="12" t="s">
        <v>19</v>
      </c>
      <c r="N7" s="13"/>
    </row>
    <row r="8" spans="1:9" s="5" customFormat="1" ht="15">
      <c r="A8" s="3"/>
      <c r="B8" s="2"/>
      <c r="C8" s="2"/>
      <c r="D8" s="2"/>
      <c r="E8" s="2"/>
      <c r="F8" s="2"/>
      <c r="G8" s="14"/>
      <c r="H8" s="12" t="s">
        <v>20</v>
      </c>
      <c r="I8" s="15" t="s">
        <v>21</v>
      </c>
    </row>
    <row r="9" spans="1:9" s="5" customFormat="1" ht="15">
      <c r="A9" s="2"/>
      <c r="B9" s="62" t="s">
        <v>22</v>
      </c>
      <c r="C9" s="133" t="s">
        <v>238</v>
      </c>
      <c r="D9" s="133"/>
      <c r="E9" s="133"/>
      <c r="F9" s="133"/>
      <c r="G9" s="2"/>
      <c r="H9" s="3"/>
      <c r="I9" s="3"/>
    </row>
    <row r="10" spans="1:9" s="9" customFormat="1" ht="12">
      <c r="A10" s="8"/>
      <c r="B10" s="16"/>
      <c r="C10" s="8"/>
      <c r="D10" s="8"/>
      <c r="E10" s="8"/>
      <c r="F10" s="8"/>
      <c r="G10" s="8"/>
      <c r="H10" s="3"/>
      <c r="I10" s="3"/>
    </row>
    <row r="11" spans="1:9" s="5" customFormat="1" ht="15" thickBot="1">
      <c r="A11" s="2"/>
      <c r="B11" s="17"/>
      <c r="C11" s="131" t="s">
        <v>160</v>
      </c>
      <c r="D11" s="131" t="s">
        <v>51</v>
      </c>
      <c r="E11" s="18" t="s">
        <v>23</v>
      </c>
      <c r="F11" s="2"/>
      <c r="G11" s="2"/>
      <c r="H11" s="2"/>
      <c r="I11" s="2"/>
    </row>
    <row r="12" spans="1:9" s="5" customFormat="1" ht="15" thickTop="1">
      <c r="A12" s="2"/>
      <c r="B12" s="129" t="s">
        <v>230</v>
      </c>
      <c r="C12" s="130">
        <v>19</v>
      </c>
      <c r="D12" s="130">
        <v>27</v>
      </c>
      <c r="E12" s="19">
        <f>C12+D12</f>
        <v>46</v>
      </c>
      <c r="F12" s="2"/>
      <c r="G12" s="2"/>
      <c r="H12" s="2"/>
      <c r="I12" s="2"/>
    </row>
    <row r="13" spans="1:9" s="5" customFormat="1" ht="15" thickBot="1">
      <c r="A13" s="2"/>
      <c r="B13" s="131" t="s">
        <v>231</v>
      </c>
      <c r="C13" s="132">
        <v>11</v>
      </c>
      <c r="D13" s="132">
        <v>3</v>
      </c>
      <c r="E13" s="20">
        <f>C13+D13</f>
        <v>14</v>
      </c>
      <c r="F13" s="21"/>
      <c r="G13" s="2"/>
      <c r="H13" s="2"/>
      <c r="I13" s="2"/>
    </row>
    <row r="14" spans="1:11" s="5" customFormat="1" ht="15" thickTop="1">
      <c r="A14" s="22" t="b">
        <f>OR(D13&gt;D12,D13&gt;C12,D13&gt;C13)</f>
        <v>0</v>
      </c>
      <c r="B14" s="23" t="s">
        <v>23</v>
      </c>
      <c r="C14" s="19">
        <f>C12+C13</f>
        <v>30</v>
      </c>
      <c r="D14" s="19">
        <f>D12+D13</f>
        <v>30</v>
      </c>
      <c r="E14" s="19">
        <f>C14+D14</f>
        <v>60</v>
      </c>
      <c r="F14" s="21"/>
      <c r="G14" s="2"/>
      <c r="H14" s="2"/>
      <c r="I14" s="2"/>
      <c r="K14" s="3"/>
    </row>
    <row r="15" spans="1:9" s="9" customFormat="1" ht="15">
      <c r="A15" s="24" t="str">
        <f>IF(A14=1,"WARNING: the smallest value was not entered in cell D; calculation is invalid!"," ")</f>
        <v> </v>
      </c>
      <c r="B15" s="16"/>
      <c r="C15" s="16"/>
      <c r="D15" s="16"/>
      <c r="E15" s="16"/>
      <c r="F15" s="25"/>
      <c r="G15" s="26"/>
      <c r="H15" s="8"/>
      <c r="I15" s="8"/>
    </row>
    <row r="16" spans="1:9" s="9" customFormat="1" ht="15">
      <c r="A16" s="24" t="str">
        <f>IF(E14&gt;100,"WARNING: total N is greater than 100; calculations may be invalid!"," ")</f>
        <v> </v>
      </c>
      <c r="B16" s="16"/>
      <c r="C16" s="16"/>
      <c r="D16" s="16"/>
      <c r="E16" s="16"/>
      <c r="F16" s="25"/>
      <c r="G16" s="26"/>
      <c r="H16" s="8"/>
      <c r="I16" s="8"/>
    </row>
    <row r="17" spans="1:7" s="5" customFormat="1" ht="14.25">
      <c r="A17" s="27"/>
      <c r="B17" s="2"/>
      <c r="C17" s="27"/>
      <c r="D17" s="28" t="str">
        <f>CONCATENATE("q1 = proportion of ",B13," in ",C11," =")</f>
        <v>q1 = proportion of Lymphoma in Group 1 =</v>
      </c>
      <c r="E17" s="194">
        <f>C13/C14</f>
        <v>0.36666666666666664</v>
      </c>
      <c r="F17" s="27"/>
      <c r="G17" s="2"/>
    </row>
    <row r="18" spans="1:10" s="5" customFormat="1" ht="14.25">
      <c r="A18" s="27"/>
      <c r="B18" s="27"/>
      <c r="C18" s="27"/>
      <c r="D18" s="28" t="str">
        <f>CONCATENATE("q2 = proportion of ",B13," in ",D11," =")</f>
        <v>q2 = proportion of Lymphoma in Group 2 =</v>
      </c>
      <c r="E18" s="194">
        <f>D13/D14</f>
        <v>0.1</v>
      </c>
      <c r="F18" s="27"/>
      <c r="G18" s="2"/>
      <c r="J18" s="2" t="s">
        <v>187</v>
      </c>
    </row>
    <row r="19" spans="1:10" s="9" customFormat="1" ht="14.25">
      <c r="A19" s="8"/>
      <c r="B19" s="16"/>
      <c r="C19" s="16"/>
      <c r="D19" s="8"/>
      <c r="E19" s="8"/>
      <c r="F19" s="16"/>
      <c r="G19" s="8"/>
      <c r="J19" s="2" t="s">
        <v>188</v>
      </c>
    </row>
    <row r="20" spans="1:10" s="5" customFormat="1" ht="15">
      <c r="A20" s="2"/>
      <c r="B20" s="21" t="s">
        <v>24</v>
      </c>
      <c r="C20" s="27"/>
      <c r="D20" s="30" t="s">
        <v>25</v>
      </c>
      <c r="E20" s="128">
        <f>E21+SUM(M36:M200)</f>
        <v>0.030341421261911302</v>
      </c>
      <c r="F20" s="27"/>
      <c r="G20" s="127"/>
      <c r="J20" s="2" t="s">
        <v>189</v>
      </c>
    </row>
    <row r="21" spans="1:10" s="5" customFormat="1" ht="14.25">
      <c r="A21" s="27"/>
      <c r="B21" s="21" t="s">
        <v>26</v>
      </c>
      <c r="C21" s="27"/>
      <c r="D21" s="30" t="s">
        <v>27</v>
      </c>
      <c r="E21" s="128">
        <f>SUM(F33:F84)</f>
        <v>0.015170710630955651</v>
      </c>
      <c r="F21" s="27"/>
      <c r="G21" s="2"/>
      <c r="H21" s="2"/>
      <c r="I21" s="2"/>
      <c r="J21" s="2" t="s">
        <v>190</v>
      </c>
    </row>
    <row r="22" spans="1:9" s="5" customFormat="1" ht="14.25">
      <c r="A22" s="27"/>
      <c r="B22" s="28"/>
      <c r="C22" s="27"/>
      <c r="D22" s="30"/>
      <c r="E22" s="31"/>
      <c r="F22" s="27"/>
      <c r="G22" s="2"/>
      <c r="H22" s="2"/>
      <c r="I22" s="2"/>
    </row>
    <row r="23" spans="1:9" s="5" customFormat="1" ht="14.25">
      <c r="A23" s="3"/>
      <c r="B23" s="14"/>
      <c r="C23" s="30"/>
      <c r="D23" s="29"/>
      <c r="E23" s="2"/>
      <c r="F23" s="2"/>
      <c r="G23" s="2"/>
      <c r="H23" s="2"/>
      <c r="I23" s="2"/>
    </row>
    <row r="24" spans="1:9" s="5" customFormat="1" ht="14.25">
      <c r="A24" s="3"/>
      <c r="B24" s="14"/>
      <c r="C24" s="30"/>
      <c r="D24" s="29"/>
      <c r="E24" s="2"/>
      <c r="F24" s="2"/>
      <c r="G24" s="2"/>
      <c r="H24" s="2"/>
      <c r="I24" s="2"/>
    </row>
    <row r="25" spans="1:9" s="5" customFormat="1" ht="14.25">
      <c r="A25" s="2"/>
      <c r="B25" s="14"/>
      <c r="C25" s="30"/>
      <c r="D25" s="29"/>
      <c r="E25" s="2"/>
      <c r="F25" s="2"/>
      <c r="G25" s="2"/>
      <c r="H25" s="2"/>
      <c r="I25" s="2"/>
    </row>
    <row r="26" spans="1:9" s="5" customFormat="1" ht="14.25">
      <c r="A26" s="2"/>
      <c r="B26" s="14"/>
      <c r="C26" s="30"/>
      <c r="D26" s="29"/>
      <c r="E26" s="2"/>
      <c r="F26" s="2"/>
      <c r="G26" s="2"/>
      <c r="H26" s="2"/>
      <c r="I26" s="2"/>
    </row>
    <row r="27" spans="1:9" s="5" customFormat="1" ht="14.25">
      <c r="A27" s="2"/>
      <c r="B27" s="14"/>
      <c r="C27" s="30"/>
      <c r="D27" s="29"/>
      <c r="E27" s="2"/>
      <c r="F27" s="2"/>
      <c r="G27" s="2"/>
      <c r="H27" s="2"/>
      <c r="I27" s="2"/>
    </row>
    <row r="28" spans="1:9" s="5" customFormat="1" ht="14.25">
      <c r="A28" s="2"/>
      <c r="B28" s="14"/>
      <c r="C28" s="30"/>
      <c r="D28" s="29"/>
      <c r="E28" s="2"/>
      <c r="F28" s="2"/>
      <c r="G28" s="2"/>
      <c r="H28" s="2"/>
      <c r="I28" s="2"/>
    </row>
    <row r="29" spans="1:9" s="5" customFormat="1" ht="12.75">
      <c r="A29" s="32"/>
      <c r="B29" s="32"/>
      <c r="C29" s="32"/>
      <c r="D29" s="32"/>
      <c r="E29" s="33"/>
      <c r="F29" s="32"/>
      <c r="G29" s="32"/>
      <c r="H29" s="32"/>
      <c r="I29" s="32"/>
    </row>
    <row r="30" spans="1:9" s="5" customFormat="1" ht="12.75">
      <c r="A30" s="32"/>
      <c r="B30" s="32"/>
      <c r="C30" s="32"/>
      <c r="D30" s="32"/>
      <c r="E30" s="33"/>
      <c r="F30" s="32"/>
      <c r="G30" s="32"/>
      <c r="H30" s="32"/>
      <c r="I30" s="32"/>
    </row>
    <row r="31" spans="1:9" s="5" customFormat="1" ht="12.75">
      <c r="A31" s="32"/>
      <c r="B31" s="32"/>
      <c r="C31" s="32"/>
      <c r="D31" s="32"/>
      <c r="E31" s="33"/>
      <c r="F31" s="32"/>
      <c r="G31" s="32"/>
      <c r="H31" s="32"/>
      <c r="I31" s="32"/>
    </row>
    <row r="32" spans="2:12" ht="12.75">
      <c r="B32" s="34">
        <f>FACT(E$12)*FACT(E$13)*FACT(C$14)*FACT(D$14)/FACT(E$14)</f>
        <v>4.0562372154386576E+51</v>
      </c>
      <c r="D32" s="34">
        <f>FACT(C12)</f>
        <v>1.21645100408832E+17</v>
      </c>
      <c r="E32" s="34">
        <f>FACT(D12)</f>
        <v>1.0888869450418352E+28</v>
      </c>
      <c r="L32" s="34"/>
    </row>
    <row r="33" spans="2:13" ht="12.75">
      <c r="B33" s="35"/>
      <c r="C33" s="35"/>
      <c r="D33" s="34">
        <f>FACT(C13)</f>
        <v>39916800</v>
      </c>
      <c r="E33" s="34">
        <f>FACT(D13)</f>
        <v>6</v>
      </c>
      <c r="F33" s="34">
        <f>B$32/(D32*E32*D33*E33)</f>
        <v>0.012786125554962663</v>
      </c>
      <c r="M33" s="34">
        <f>B$32/(D32*E32*D33*E33)</f>
        <v>0.012786125554962663</v>
      </c>
    </row>
    <row r="34" spans="6:12" ht="12.75">
      <c r="F34" s="36"/>
      <c r="L34" s="34"/>
    </row>
    <row r="35" spans="1:12" ht="12.75">
      <c r="A35" s="37" t="s">
        <v>28</v>
      </c>
      <c r="B35" s="38">
        <f>E$12-C35</f>
        <v>18</v>
      </c>
      <c r="C35" s="38">
        <f>D$14-C36</f>
        <v>28</v>
      </c>
      <c r="D35" s="34">
        <f aca="true" t="shared" si="0" ref="D35:E63">FACT(B35)</f>
        <v>6402373705728000</v>
      </c>
      <c r="E35" s="34">
        <f t="shared" si="0"/>
        <v>3.048883446117138E+29</v>
      </c>
      <c r="F35" s="36"/>
      <c r="H35" s="38">
        <f>E$12-I35</f>
        <v>20</v>
      </c>
      <c r="I35" s="38">
        <f>D$14-I36</f>
        <v>26</v>
      </c>
      <c r="J35" s="34">
        <f aca="true" t="shared" si="1" ref="J35:K50">FACT(H35)</f>
        <v>2.43290200817664E+18</v>
      </c>
      <c r="K35" s="34">
        <f t="shared" si="1"/>
        <v>4.032914611266057E+26</v>
      </c>
      <c r="L35" s="36"/>
    </row>
    <row r="36" spans="2:13" ht="12.75">
      <c r="B36" s="38">
        <f>E$13-C36</f>
        <v>12</v>
      </c>
      <c r="C36" s="38">
        <f>D13-1</f>
        <v>2</v>
      </c>
      <c r="D36" s="34">
        <f t="shared" si="0"/>
        <v>479001600</v>
      </c>
      <c r="E36" s="34">
        <f t="shared" si="0"/>
        <v>2</v>
      </c>
      <c r="F36" s="34">
        <f>IF(C36&lt;0,0,B$32/(D35*E35*D36*E36))</f>
        <v>0.0021690748709311666</v>
      </c>
      <c r="H36" s="38">
        <f>$C$13-1</f>
        <v>10</v>
      </c>
      <c r="I36" s="38">
        <f>E$13-H36</f>
        <v>4</v>
      </c>
      <c r="J36" s="34">
        <f t="shared" si="1"/>
        <v>3628800</v>
      </c>
      <c r="K36" s="34">
        <f t="shared" si="1"/>
        <v>24</v>
      </c>
      <c r="L36" s="39">
        <f>IF(I35&lt;0,0,IF(H36&lt;0,0,B$32/(J35*K35*J36*K36)))</f>
        <v>0.047468491122798884</v>
      </c>
      <c r="M36" s="10">
        <f>IF(L36&gt;$M$33,0,L36)</f>
        <v>0</v>
      </c>
    </row>
    <row r="37" spans="1:12" ht="12.75">
      <c r="A37" s="37" t="s">
        <v>29</v>
      </c>
      <c r="B37" s="38">
        <f>E$12-C37</f>
        <v>17</v>
      </c>
      <c r="C37" s="38">
        <f>D$14-C38</f>
        <v>29</v>
      </c>
      <c r="D37" s="34">
        <f t="shared" si="0"/>
        <v>355687428096000</v>
      </c>
      <c r="E37" s="34">
        <f t="shared" si="0"/>
        <v>8.841761993739701E+30</v>
      </c>
      <c r="H37" s="38">
        <f>E$12-I37</f>
        <v>21</v>
      </c>
      <c r="I37" s="38">
        <f>D$14-I38</f>
        <v>25</v>
      </c>
      <c r="J37" s="34">
        <f t="shared" si="1"/>
        <v>5.109094217170944E+19</v>
      </c>
      <c r="K37" s="34">
        <f t="shared" si="1"/>
        <v>1.5511210043330984E+25</v>
      </c>
      <c r="L37" s="36"/>
    </row>
    <row r="38" spans="2:13" ht="12.75">
      <c r="B38" s="38">
        <f>E$13-C38</f>
        <v>13</v>
      </c>
      <c r="C38" s="38">
        <f>C36-1</f>
        <v>1</v>
      </c>
      <c r="D38" s="34">
        <f t="shared" si="0"/>
        <v>6227020800</v>
      </c>
      <c r="E38" s="34">
        <f t="shared" si="0"/>
        <v>1</v>
      </c>
      <c r="F38" s="34">
        <f>IF(C38&lt;0,0,B$32/(D37*E37*D38*E38))</f>
        <v>0.0002071265128740636</v>
      </c>
      <c r="H38" s="38">
        <f>H36-1</f>
        <v>9</v>
      </c>
      <c r="I38" s="38">
        <f>E$13-H38</f>
        <v>5</v>
      </c>
      <c r="J38" s="34">
        <f t="shared" si="1"/>
        <v>362880</v>
      </c>
      <c r="K38" s="34">
        <f t="shared" si="1"/>
        <v>120</v>
      </c>
      <c r="L38" s="39">
        <f>IF(I37&lt;0,0,IF(H38&lt;0,0,B$32/(J37*K37*J38*K38)))</f>
        <v>0.11754102563740677</v>
      </c>
      <c r="M38" s="10">
        <f>IF(L38&gt;$M$33,0,L38)</f>
        <v>0</v>
      </c>
    </row>
    <row r="39" spans="1:12" ht="12.75">
      <c r="A39" s="37" t="s">
        <v>30</v>
      </c>
      <c r="B39" s="38">
        <f>E$12-C39</f>
        <v>16</v>
      </c>
      <c r="C39" s="38">
        <f>D$14-C40</f>
        <v>30</v>
      </c>
      <c r="D39" s="34">
        <f t="shared" si="0"/>
        <v>20922789888000</v>
      </c>
      <c r="E39" s="34">
        <f t="shared" si="0"/>
        <v>2.652528598121911E+32</v>
      </c>
      <c r="H39" s="38">
        <f>E$12-I39</f>
        <v>22</v>
      </c>
      <c r="I39" s="38">
        <f>D$14-I40</f>
        <v>24</v>
      </c>
      <c r="J39" s="34">
        <f t="shared" si="1"/>
        <v>1.1240007277776077E+21</v>
      </c>
      <c r="K39" s="34">
        <f t="shared" si="1"/>
        <v>6.204484017332394E+23</v>
      </c>
      <c r="L39" s="36"/>
    </row>
    <row r="40" spans="2:13" ht="12.75">
      <c r="B40" s="38">
        <f>E$13-C40</f>
        <v>14</v>
      </c>
      <c r="C40" s="38">
        <f>C38-1</f>
        <v>0</v>
      </c>
      <c r="D40" s="34">
        <f t="shared" si="0"/>
        <v>87178291200</v>
      </c>
      <c r="E40" s="34">
        <f t="shared" si="0"/>
        <v>1</v>
      </c>
      <c r="F40" s="34">
        <f>IF(C40&lt;0,0,B$32/(D39*E39*D40*E40))</f>
        <v>8.383692187759715E-06</v>
      </c>
      <c r="H40" s="38">
        <f>H38-1</f>
        <v>8</v>
      </c>
      <c r="I40" s="38">
        <f>E$13-H40</f>
        <v>6</v>
      </c>
      <c r="J40" s="34">
        <f t="shared" si="1"/>
        <v>40320</v>
      </c>
      <c r="K40" s="34">
        <f t="shared" si="1"/>
        <v>720</v>
      </c>
      <c r="L40" s="39">
        <f>IF(I39&lt;0,0,IF(H40&lt;0,0,B$32/(J39*K39*J40*K40)))</f>
        <v>0.20035402097285243</v>
      </c>
      <c r="M40" s="10">
        <f>IF(L40&gt;$M$33,0,L40)</f>
        <v>0</v>
      </c>
    </row>
    <row r="41" spans="1:12" ht="12.75">
      <c r="A41" s="37" t="s">
        <v>31</v>
      </c>
      <c r="B41" s="38">
        <f>E$12-C41</f>
        <v>15</v>
      </c>
      <c r="C41" s="38">
        <f>D$14-C42</f>
        <v>31</v>
      </c>
      <c r="D41" s="34">
        <f t="shared" si="0"/>
        <v>1307674368000</v>
      </c>
      <c r="E41" s="34">
        <f t="shared" si="0"/>
        <v>8.222838654177924E+33</v>
      </c>
      <c r="H41" s="38">
        <f>E$12-I41</f>
        <v>23</v>
      </c>
      <c r="I41" s="38">
        <f>D$14-I42</f>
        <v>23</v>
      </c>
      <c r="J41" s="34">
        <f t="shared" si="1"/>
        <v>2.585201673888498E+22</v>
      </c>
      <c r="K41" s="34">
        <f t="shared" si="1"/>
        <v>2.585201673888498E+22</v>
      </c>
      <c r="L41" s="36"/>
    </row>
    <row r="42" spans="2:13" ht="12.75">
      <c r="B42" s="38">
        <f>E$13-C42</f>
        <v>15</v>
      </c>
      <c r="C42" s="38">
        <f>C40-1</f>
        <v>-1</v>
      </c>
      <c r="D42" s="34">
        <f t="shared" si="0"/>
        <v>1307674368000</v>
      </c>
      <c r="E42" s="34" t="e">
        <f t="shared" si="0"/>
        <v>#NUM!</v>
      </c>
      <c r="F42" s="34">
        <f>IF(C42&lt;0,0,B$32/(D41*E41*D42*E42))</f>
        <v>0</v>
      </c>
      <c r="H42" s="38">
        <f>H40-1</f>
        <v>7</v>
      </c>
      <c r="I42" s="38">
        <f>E$13-H42</f>
        <v>7</v>
      </c>
      <c r="J42" s="34">
        <f t="shared" si="1"/>
        <v>5040</v>
      </c>
      <c r="K42" s="34">
        <f t="shared" si="1"/>
        <v>5040</v>
      </c>
      <c r="L42" s="39">
        <f>IF(I41&lt;0,0,IF(H42&lt;0,0,B$32/(J41*K41*J42*K42)))</f>
        <v>0.23893150327197307</v>
      </c>
      <c r="M42" s="10">
        <f>IF(L42&gt;$M$33,0,L42)</f>
        <v>0</v>
      </c>
    </row>
    <row r="43" spans="1:12" ht="12.75">
      <c r="A43" s="37" t="s">
        <v>32</v>
      </c>
      <c r="B43" s="38">
        <f>E$12-C43</f>
        <v>14</v>
      </c>
      <c r="C43" s="38">
        <f>D$14-C44</f>
        <v>32</v>
      </c>
      <c r="D43" s="34">
        <f t="shared" si="0"/>
        <v>87178291200</v>
      </c>
      <c r="E43" s="34">
        <f t="shared" si="0"/>
        <v>2.6313083693369355E+35</v>
      </c>
      <c r="H43" s="38">
        <f>E$12-I43</f>
        <v>24</v>
      </c>
      <c r="I43" s="38">
        <f>D$14-I44</f>
        <v>22</v>
      </c>
      <c r="J43" s="34">
        <f t="shared" si="1"/>
        <v>6.204484017332394E+23</v>
      </c>
      <c r="K43" s="34">
        <f t="shared" si="1"/>
        <v>1.1240007277776077E+21</v>
      </c>
      <c r="L43" s="36"/>
    </row>
    <row r="44" spans="2:13" ht="12.75">
      <c r="B44" s="38">
        <f>E$13-C44</f>
        <v>16</v>
      </c>
      <c r="C44" s="38">
        <f>C42-1</f>
        <v>-2</v>
      </c>
      <c r="D44" s="34">
        <f t="shared" si="0"/>
        <v>20922789888000</v>
      </c>
      <c r="E44" s="34" t="e">
        <f t="shared" si="0"/>
        <v>#NUM!</v>
      </c>
      <c r="F44" s="34">
        <f>IF(C44&lt;0,0,B$32/(D43*E43*D44*E44))</f>
        <v>0</v>
      </c>
      <c r="H44" s="38">
        <f>H42-1</f>
        <v>6</v>
      </c>
      <c r="I44" s="38">
        <f>E$13-H44</f>
        <v>8</v>
      </c>
      <c r="J44" s="34">
        <f t="shared" si="1"/>
        <v>720</v>
      </c>
      <c r="K44" s="34">
        <f t="shared" si="1"/>
        <v>40320</v>
      </c>
      <c r="L44" s="39">
        <f>IF(I43&lt;0,0,IF(H44&lt;0,0,B$32/(J43*K43*J44*K44)))</f>
        <v>0.20035402097285246</v>
      </c>
      <c r="M44" s="10">
        <f>IF(L44&gt;$M$33,0,L44)</f>
        <v>0</v>
      </c>
    </row>
    <row r="45" spans="1:12" ht="12.75">
      <c r="A45" s="37" t="s">
        <v>33</v>
      </c>
      <c r="B45" s="38">
        <f>E$12-C45</f>
        <v>13</v>
      </c>
      <c r="C45" s="38">
        <f>D$14-C46</f>
        <v>33</v>
      </c>
      <c r="D45" s="34">
        <f t="shared" si="0"/>
        <v>6227020800</v>
      </c>
      <c r="E45" s="34">
        <f t="shared" si="0"/>
        <v>8.68331761881189E+36</v>
      </c>
      <c r="H45" s="38">
        <f>E$12-I45</f>
        <v>25</v>
      </c>
      <c r="I45" s="38">
        <f>D$14-I46</f>
        <v>21</v>
      </c>
      <c r="J45" s="34">
        <f t="shared" si="1"/>
        <v>1.5511210043330984E+25</v>
      </c>
      <c r="K45" s="34">
        <f t="shared" si="1"/>
        <v>5.109094217170944E+19</v>
      </c>
      <c r="L45" s="36"/>
    </row>
    <row r="46" spans="2:13" ht="12.75">
      <c r="B46" s="38">
        <f>E$13-C46</f>
        <v>17</v>
      </c>
      <c r="C46" s="38">
        <f>C44-1</f>
        <v>-3</v>
      </c>
      <c r="D46" s="34">
        <f t="shared" si="0"/>
        <v>355687428096000</v>
      </c>
      <c r="E46" s="34" t="e">
        <f t="shared" si="0"/>
        <v>#NUM!</v>
      </c>
      <c r="F46" s="34">
        <f>IF(C46&lt;0,0,B$32/(D45*E45*D46*E46))</f>
        <v>0</v>
      </c>
      <c r="H46" s="38">
        <f>H44-1</f>
        <v>5</v>
      </c>
      <c r="I46" s="38">
        <f>E$13-H46</f>
        <v>9</v>
      </c>
      <c r="J46" s="34">
        <f t="shared" si="1"/>
        <v>120</v>
      </c>
      <c r="K46" s="34">
        <f t="shared" si="1"/>
        <v>362880</v>
      </c>
      <c r="L46" s="39">
        <f>IF(I45&lt;0,0,IF(H46&lt;0,0,B$32/(J45*K45*J46*K46)))</f>
        <v>0.11754102563740677</v>
      </c>
      <c r="M46" s="10">
        <f>IF(L46&gt;$M$33,0,L46)</f>
        <v>0</v>
      </c>
    </row>
    <row r="47" spans="1:12" ht="12.75">
      <c r="A47" s="37" t="s">
        <v>34</v>
      </c>
      <c r="B47" s="38">
        <f>E$12-C47</f>
        <v>12</v>
      </c>
      <c r="C47" s="38">
        <f>D$14-C48</f>
        <v>34</v>
      </c>
      <c r="D47" s="34">
        <f t="shared" si="0"/>
        <v>479001600</v>
      </c>
      <c r="E47" s="34">
        <f t="shared" si="0"/>
        <v>2.952327990396041E+38</v>
      </c>
      <c r="H47" s="38">
        <f>E$12-I47</f>
        <v>26</v>
      </c>
      <c r="I47" s="38">
        <f>D$14-I48</f>
        <v>20</v>
      </c>
      <c r="J47" s="34">
        <f t="shared" si="1"/>
        <v>4.032914611266057E+26</v>
      </c>
      <c r="K47" s="34">
        <f t="shared" si="1"/>
        <v>2.43290200817664E+18</v>
      </c>
      <c r="L47" s="36"/>
    </row>
    <row r="48" spans="2:13" ht="12.75">
      <c r="B48" s="38">
        <f>E$13-C48</f>
        <v>18</v>
      </c>
      <c r="C48" s="38">
        <f>C46-1</f>
        <v>-4</v>
      </c>
      <c r="D48" s="34">
        <f t="shared" si="0"/>
        <v>6402373705728000</v>
      </c>
      <c r="E48" s="34" t="e">
        <f t="shared" si="0"/>
        <v>#NUM!</v>
      </c>
      <c r="F48" s="34">
        <f>IF(C48&lt;0,0,B$32/(D47*E47*D48*E48))</f>
        <v>0</v>
      </c>
      <c r="H48" s="38">
        <f>H46-1</f>
        <v>4</v>
      </c>
      <c r="I48" s="38">
        <f>E$13-H48</f>
        <v>10</v>
      </c>
      <c r="J48" s="34">
        <f t="shared" si="1"/>
        <v>24</v>
      </c>
      <c r="K48" s="34">
        <f t="shared" si="1"/>
        <v>3628800</v>
      </c>
      <c r="L48" s="39">
        <f>IF(I47&lt;0,0,IF(H48&lt;0,0,B$32/(J47*K47*J48*K48)))</f>
        <v>0.04746849112279888</v>
      </c>
      <c r="M48" s="10">
        <f>IF(L48&gt;$M$33,0,L48)</f>
        <v>0</v>
      </c>
    </row>
    <row r="49" spans="1:12" ht="12.75">
      <c r="A49" s="37" t="s">
        <v>35</v>
      </c>
      <c r="B49" s="38">
        <f>E$12-C49</f>
        <v>11</v>
      </c>
      <c r="C49" s="38">
        <f>D$14-C50</f>
        <v>35</v>
      </c>
      <c r="D49" s="34">
        <f t="shared" si="0"/>
        <v>39916800</v>
      </c>
      <c r="E49" s="34">
        <f t="shared" si="0"/>
        <v>1.0333147966386144E+40</v>
      </c>
      <c r="H49" s="38">
        <f>E$12-I49</f>
        <v>27</v>
      </c>
      <c r="I49" s="38">
        <f>D$14-I50</f>
        <v>19</v>
      </c>
      <c r="J49" s="34">
        <f t="shared" si="1"/>
        <v>1.0888869450418352E+28</v>
      </c>
      <c r="K49" s="34">
        <f t="shared" si="1"/>
        <v>1.21645100408832E+17</v>
      </c>
      <c r="L49" s="36"/>
    </row>
    <row r="50" spans="2:13" ht="12.75">
      <c r="B50" s="38">
        <f>E$13-C50</f>
        <v>19</v>
      </c>
      <c r="C50" s="38">
        <f>C48-1</f>
        <v>-5</v>
      </c>
      <c r="D50" s="34">
        <f t="shared" si="0"/>
        <v>1.21645100408832E+17</v>
      </c>
      <c r="E50" s="34" t="e">
        <f t="shared" si="0"/>
        <v>#NUM!</v>
      </c>
      <c r="F50" s="34">
        <f>IF(C50&lt;0,0,B$32/(D49*E49*D50*E50))</f>
        <v>0</v>
      </c>
      <c r="H50" s="38">
        <f>H48-1</f>
        <v>3</v>
      </c>
      <c r="I50" s="38">
        <f>E$13-H50</f>
        <v>11</v>
      </c>
      <c r="J50" s="34">
        <f t="shared" si="1"/>
        <v>6</v>
      </c>
      <c r="K50" s="34">
        <f t="shared" si="1"/>
        <v>39916800</v>
      </c>
      <c r="L50" s="39">
        <f>IF(I49&lt;0,0,IF(H50&lt;0,0,B$32/(J49*K49*J50*K50)))</f>
        <v>0.012786125554962663</v>
      </c>
      <c r="M50" s="10">
        <f>IF(L50&gt;$M$33,0,L50)</f>
        <v>0.012786125554962663</v>
      </c>
    </row>
    <row r="51" spans="1:12" ht="12.75">
      <c r="A51" s="37" t="s">
        <v>36</v>
      </c>
      <c r="B51" s="38">
        <f>E$12-C51</f>
        <v>10</v>
      </c>
      <c r="C51" s="38">
        <f>D$14-C52</f>
        <v>36</v>
      </c>
      <c r="D51" s="34">
        <f t="shared" si="0"/>
        <v>3628800</v>
      </c>
      <c r="E51" s="34">
        <f t="shared" si="0"/>
        <v>3.719933267899013E+41</v>
      </c>
      <c r="H51" s="38">
        <f>E$12-I51</f>
        <v>28</v>
      </c>
      <c r="I51" s="38">
        <f>D$14-I52</f>
        <v>18</v>
      </c>
      <c r="J51" s="34">
        <f aca="true" t="shared" si="2" ref="J51:K64">FACT(H51)</f>
        <v>3.048883446117138E+29</v>
      </c>
      <c r="K51" s="34">
        <f t="shared" si="2"/>
        <v>6402373705728000</v>
      </c>
      <c r="L51" s="36"/>
    </row>
    <row r="52" spans="2:13" ht="12.75">
      <c r="B52" s="38">
        <f>E$13-C52</f>
        <v>20</v>
      </c>
      <c r="C52" s="38">
        <f>C50-1</f>
        <v>-6</v>
      </c>
      <c r="D52" s="34">
        <f t="shared" si="0"/>
        <v>2.43290200817664E+18</v>
      </c>
      <c r="E52" s="34" t="e">
        <f t="shared" si="0"/>
        <v>#NUM!</v>
      </c>
      <c r="F52" s="34">
        <f>IF(C52&lt;0,0,B$32/(D51*E51*D52*E52))</f>
        <v>0</v>
      </c>
      <c r="H52" s="38">
        <f>H50-1</f>
        <v>2</v>
      </c>
      <c r="I52" s="38">
        <f>E$13-H52</f>
        <v>12</v>
      </c>
      <c r="J52" s="34">
        <f t="shared" si="2"/>
        <v>2</v>
      </c>
      <c r="K52" s="34">
        <f t="shared" si="2"/>
        <v>479001600</v>
      </c>
      <c r="L52" s="39">
        <f>IF(I51&lt;0,0,IF(H52&lt;0,0,B$32/(J51*K51*J52*K52)))</f>
        <v>0.0021690748709311666</v>
      </c>
      <c r="M52" s="10">
        <f>IF(L52&gt;$M$33,0,L52)</f>
        <v>0.0021690748709311666</v>
      </c>
    </row>
    <row r="53" spans="1:12" ht="12.75">
      <c r="A53" s="37" t="s">
        <v>37</v>
      </c>
      <c r="B53" s="38">
        <f>E$12-C53</f>
        <v>9</v>
      </c>
      <c r="C53" s="38">
        <f>D$14-C54</f>
        <v>37</v>
      </c>
      <c r="D53" s="34">
        <f t="shared" si="0"/>
        <v>362880</v>
      </c>
      <c r="E53" s="34">
        <f t="shared" si="0"/>
        <v>1.3763753091226346E+43</v>
      </c>
      <c r="H53" s="38">
        <f>E$12-I53</f>
        <v>29</v>
      </c>
      <c r="I53" s="38">
        <f>D$14-I54</f>
        <v>17</v>
      </c>
      <c r="J53" s="34">
        <f t="shared" si="2"/>
        <v>8.841761993739701E+30</v>
      </c>
      <c r="K53" s="34">
        <f t="shared" si="2"/>
        <v>355687428096000</v>
      </c>
      <c r="L53" s="36"/>
    </row>
    <row r="54" spans="2:13" ht="12.75">
      <c r="B54" s="38">
        <f>E$13-C54</f>
        <v>21</v>
      </c>
      <c r="C54" s="38">
        <f>C52-1</f>
        <v>-7</v>
      </c>
      <c r="D54" s="34">
        <f t="shared" si="0"/>
        <v>5.109094217170944E+19</v>
      </c>
      <c r="E54" s="34" t="e">
        <f t="shared" si="0"/>
        <v>#NUM!</v>
      </c>
      <c r="F54" s="34">
        <f>IF(C54&lt;0,0,B$32/(D53*E53*D54*E54))</f>
        <v>0</v>
      </c>
      <c r="H54" s="38">
        <f>H52-1</f>
        <v>1</v>
      </c>
      <c r="I54" s="38">
        <f>E$13-H54</f>
        <v>13</v>
      </c>
      <c r="J54" s="34">
        <f t="shared" si="2"/>
        <v>1</v>
      </c>
      <c r="K54" s="34">
        <f t="shared" si="2"/>
        <v>6227020800</v>
      </c>
      <c r="L54" s="39">
        <f>IF(I53&lt;0,0,IF(H54&lt;0,0,B$32/(J53*K53*J54*K54)))</f>
        <v>0.0002071265128740636</v>
      </c>
      <c r="M54" s="10">
        <f>IF(L54&gt;$M$33,0,L54)</f>
        <v>0.0002071265128740636</v>
      </c>
    </row>
    <row r="55" spans="1:12" ht="12.75">
      <c r="A55" s="37" t="s">
        <v>38</v>
      </c>
      <c r="B55" s="38">
        <f>E$12-C55</f>
        <v>8</v>
      </c>
      <c r="C55" s="38">
        <f>D$14-C56</f>
        <v>38</v>
      </c>
      <c r="D55" s="34">
        <f t="shared" si="0"/>
        <v>40320</v>
      </c>
      <c r="E55" s="34">
        <f t="shared" si="0"/>
        <v>5.23022617466601E+44</v>
      </c>
      <c r="H55" s="38">
        <f>E$12-I55</f>
        <v>30</v>
      </c>
      <c r="I55" s="38">
        <f>D$14-I56</f>
        <v>16</v>
      </c>
      <c r="J55" s="34">
        <f t="shared" si="2"/>
        <v>2.652528598121911E+32</v>
      </c>
      <c r="K55" s="34">
        <f t="shared" si="2"/>
        <v>20922789888000</v>
      </c>
      <c r="L55" s="36"/>
    </row>
    <row r="56" spans="2:13" ht="12.75">
      <c r="B56" s="38">
        <f>E$13-C56</f>
        <v>22</v>
      </c>
      <c r="C56" s="38">
        <f>C54-1</f>
        <v>-8</v>
      </c>
      <c r="D56" s="34">
        <f t="shared" si="0"/>
        <v>1.1240007277776077E+21</v>
      </c>
      <c r="E56" s="34" t="e">
        <f t="shared" si="0"/>
        <v>#NUM!</v>
      </c>
      <c r="F56" s="34">
        <f>IF(C56&lt;0,0,B$32/(D55*E55*D56*E56))</f>
        <v>0</v>
      </c>
      <c r="H56" s="38">
        <f>H54-1</f>
        <v>0</v>
      </c>
      <c r="I56" s="38">
        <f>E$13-H56</f>
        <v>14</v>
      </c>
      <c r="J56" s="34">
        <f t="shared" si="2"/>
        <v>1</v>
      </c>
      <c r="K56" s="34">
        <f t="shared" si="2"/>
        <v>87178291200</v>
      </c>
      <c r="L56" s="39">
        <f>IF(I55&lt;0,0,IF(H56&lt;0,0,B$32/(J55*K55*J56*K56)))</f>
        <v>8.383692187759715E-06</v>
      </c>
      <c r="M56" s="10">
        <f>IF(L56&gt;$M$33,0,L56)</f>
        <v>8.383692187759715E-06</v>
      </c>
    </row>
    <row r="57" spans="1:12" ht="12.75">
      <c r="A57" s="37" t="s">
        <v>39</v>
      </c>
      <c r="B57" s="38">
        <f>E$12-C57</f>
        <v>7</v>
      </c>
      <c r="C57" s="38">
        <f>D$14-C58</f>
        <v>39</v>
      </c>
      <c r="D57" s="34">
        <f t="shared" si="0"/>
        <v>5040</v>
      </c>
      <c r="E57" s="34">
        <f t="shared" si="0"/>
        <v>2.0397882081197447E+46</v>
      </c>
      <c r="H57" s="38">
        <f>E$12-I57</f>
        <v>31</v>
      </c>
      <c r="I57" s="38">
        <f>D$14-I58</f>
        <v>15</v>
      </c>
      <c r="J57" s="34">
        <f t="shared" si="2"/>
        <v>8.222838654177924E+33</v>
      </c>
      <c r="K57" s="34">
        <f t="shared" si="2"/>
        <v>1307674368000</v>
      </c>
      <c r="L57" s="36"/>
    </row>
    <row r="58" spans="2:13" ht="12.75">
      <c r="B58" s="38">
        <f>E$13-C58</f>
        <v>23</v>
      </c>
      <c r="C58" s="38">
        <f>C56-1</f>
        <v>-9</v>
      </c>
      <c r="D58" s="34">
        <f t="shared" si="0"/>
        <v>2.585201673888498E+22</v>
      </c>
      <c r="E58" s="34" t="e">
        <f t="shared" si="0"/>
        <v>#NUM!</v>
      </c>
      <c r="F58" s="34">
        <f>IF(C58&lt;0,0,B$32/(D57*E57*D58*E58))</f>
        <v>0</v>
      </c>
      <c r="H58" s="38">
        <f>H56-1</f>
        <v>-1</v>
      </c>
      <c r="I58" s="38">
        <f>E$13-H58</f>
        <v>15</v>
      </c>
      <c r="J58" s="34" t="e">
        <f t="shared" si="2"/>
        <v>#NUM!</v>
      </c>
      <c r="K58" s="34">
        <f t="shared" si="2"/>
        <v>1307674368000</v>
      </c>
      <c r="L58" s="39">
        <f>IF(I57&lt;0,0,IF(H58&lt;0,0,B$32/(J57*K57*J58*K58)))</f>
        <v>0</v>
      </c>
      <c r="M58" s="10">
        <f>IF(L58&gt;$M$33,0,L58)</f>
        <v>0</v>
      </c>
    </row>
    <row r="59" spans="1:12" ht="12.75">
      <c r="A59" s="37" t="s">
        <v>40</v>
      </c>
      <c r="B59" s="38">
        <f>E$12-C59</f>
        <v>6</v>
      </c>
      <c r="C59" s="38">
        <f>D$14-C60</f>
        <v>40</v>
      </c>
      <c r="D59" s="34">
        <f t="shared" si="0"/>
        <v>720</v>
      </c>
      <c r="E59" s="34">
        <f t="shared" si="0"/>
        <v>8.15915283247898E+47</v>
      </c>
      <c r="H59" s="38">
        <f>E$12-I59</f>
        <v>32</v>
      </c>
      <c r="I59" s="38">
        <f>D$14-I60</f>
        <v>14</v>
      </c>
      <c r="J59" s="34">
        <f t="shared" si="2"/>
        <v>2.6313083693369355E+35</v>
      </c>
      <c r="K59" s="34">
        <f t="shared" si="2"/>
        <v>87178291200</v>
      </c>
      <c r="L59" s="36"/>
    </row>
    <row r="60" spans="2:13" ht="12.75">
      <c r="B60" s="38">
        <f>E$13-C60</f>
        <v>24</v>
      </c>
      <c r="C60" s="38">
        <f>C58-1</f>
        <v>-10</v>
      </c>
      <c r="D60" s="34">
        <f t="shared" si="0"/>
        <v>6.204484017332394E+23</v>
      </c>
      <c r="E60" s="34" t="e">
        <f t="shared" si="0"/>
        <v>#NUM!</v>
      </c>
      <c r="F60" s="34">
        <f>IF(C60&lt;0,0,B$32/(D59*E59*D60*E60))</f>
        <v>0</v>
      </c>
      <c r="H60" s="38">
        <f>H58-1</f>
        <v>-2</v>
      </c>
      <c r="I60" s="38">
        <f>E$13-H60</f>
        <v>16</v>
      </c>
      <c r="J60" s="34" t="e">
        <f t="shared" si="2"/>
        <v>#NUM!</v>
      </c>
      <c r="K60" s="34">
        <f t="shared" si="2"/>
        <v>20922789888000</v>
      </c>
      <c r="L60" s="39">
        <f>IF(I59&lt;0,0,IF(H60&lt;0,0,B$32/(J59*K59*J60*K60)))</f>
        <v>0</v>
      </c>
      <c r="M60" s="10">
        <f>IF(L60&gt;$M$33,0,L60)</f>
        <v>0</v>
      </c>
    </row>
    <row r="61" spans="1:12" ht="12.75">
      <c r="A61" s="37" t="s">
        <v>41</v>
      </c>
      <c r="B61" s="38">
        <f>E$12-C61</f>
        <v>5</v>
      </c>
      <c r="C61" s="38">
        <f>D$14-C62</f>
        <v>41</v>
      </c>
      <c r="D61" s="34">
        <f t="shared" si="0"/>
        <v>120</v>
      </c>
      <c r="E61" s="34">
        <f t="shared" si="0"/>
        <v>3.34525266131638E+49</v>
      </c>
      <c r="H61" s="38">
        <f>E$12-I61</f>
        <v>33</v>
      </c>
      <c r="I61" s="38">
        <f>D$14-I62</f>
        <v>13</v>
      </c>
      <c r="J61" s="34">
        <f t="shared" si="2"/>
        <v>8.68331761881189E+36</v>
      </c>
      <c r="K61" s="34">
        <f t="shared" si="2"/>
        <v>6227020800</v>
      </c>
      <c r="L61" s="36"/>
    </row>
    <row r="62" spans="2:13" ht="12.75">
      <c r="B62" s="38">
        <f>E$13-C62</f>
        <v>25</v>
      </c>
      <c r="C62" s="38">
        <f>C60-1</f>
        <v>-11</v>
      </c>
      <c r="D62" s="34">
        <f t="shared" si="0"/>
        <v>1.5511210043330984E+25</v>
      </c>
      <c r="E62" s="34" t="e">
        <f t="shared" si="0"/>
        <v>#NUM!</v>
      </c>
      <c r="F62" s="34">
        <f>IF(C62&lt;0,0,B$32/(D61*E61*D62*E62))</f>
        <v>0</v>
      </c>
      <c r="H62" s="38">
        <f>H60-1</f>
        <v>-3</v>
      </c>
      <c r="I62" s="38">
        <f>E$13-H62</f>
        <v>17</v>
      </c>
      <c r="J62" s="34" t="e">
        <f t="shared" si="2"/>
        <v>#NUM!</v>
      </c>
      <c r="K62" s="34">
        <f t="shared" si="2"/>
        <v>355687428096000</v>
      </c>
      <c r="L62" s="39">
        <f>IF(I61&lt;0,0,IF(H62&lt;0,0,B$32/(J61*K61*J62*K62)))</f>
        <v>0</v>
      </c>
      <c r="M62" s="10">
        <f>IF(L62&gt;$M$33,0,L62)</f>
        <v>0</v>
      </c>
    </row>
    <row r="63" spans="1:12" ht="12.75">
      <c r="A63" s="37" t="s">
        <v>42</v>
      </c>
      <c r="B63" s="38">
        <f>E$12-C63</f>
        <v>4</v>
      </c>
      <c r="C63" s="38">
        <f>D$14-C64</f>
        <v>42</v>
      </c>
      <c r="D63" s="34">
        <f t="shared" si="0"/>
        <v>24</v>
      </c>
      <c r="E63" s="34">
        <f t="shared" si="0"/>
        <v>1.4050061177528801E+51</v>
      </c>
      <c r="H63" s="38">
        <f>E$12-I63</f>
        <v>34</v>
      </c>
      <c r="I63" s="38">
        <f>D$14-I64</f>
        <v>12</v>
      </c>
      <c r="J63" s="34">
        <f t="shared" si="2"/>
        <v>2.952327990396041E+38</v>
      </c>
      <c r="K63" s="34">
        <f t="shared" si="2"/>
        <v>479001600</v>
      </c>
      <c r="L63" s="36"/>
    </row>
    <row r="64" spans="2:13" ht="12.75">
      <c r="B64" s="38">
        <f>E$13-C64</f>
        <v>26</v>
      </c>
      <c r="C64" s="38">
        <f>C62-1</f>
        <v>-12</v>
      </c>
      <c r="D64" s="34">
        <f aca="true" t="shared" si="3" ref="D64:D84">FACT(B64)</f>
        <v>4.032914611266057E+26</v>
      </c>
      <c r="E64" s="34" t="e">
        <f aca="true" t="shared" si="4" ref="E64:E84">FACT(C64)</f>
        <v>#NUM!</v>
      </c>
      <c r="F64" s="34">
        <f>IF(C64&lt;0,0,B$32/(D63*E63*D64*E64))</f>
        <v>0</v>
      </c>
      <c r="H64" s="38">
        <f>H62-1</f>
        <v>-4</v>
      </c>
      <c r="I64" s="38">
        <f>E$13-H64</f>
        <v>18</v>
      </c>
      <c r="J64" s="34" t="e">
        <f t="shared" si="2"/>
        <v>#NUM!</v>
      </c>
      <c r="K64" s="34">
        <f t="shared" si="2"/>
        <v>6402373705728000</v>
      </c>
      <c r="L64" s="39">
        <f>IF(I63&lt;0,0,IF(H64&lt;0,0,B$32/(J63*K63*J64*K64)))</f>
        <v>0</v>
      </c>
      <c r="M64" s="10">
        <f>IF(L64&gt;$M$33,0,L64)</f>
        <v>0</v>
      </c>
    </row>
    <row r="65" spans="1:12" ht="12.75">
      <c r="A65" s="37" t="s">
        <v>148</v>
      </c>
      <c r="B65" s="38">
        <f>E$12-C65</f>
        <v>3</v>
      </c>
      <c r="C65" s="38">
        <f>D$14-C66</f>
        <v>43</v>
      </c>
      <c r="D65" s="34">
        <f t="shared" si="3"/>
        <v>6</v>
      </c>
      <c r="E65" s="34">
        <f t="shared" si="4"/>
        <v>6.041526306337384E+52</v>
      </c>
      <c r="H65" s="38">
        <f>E$12-I65</f>
        <v>35</v>
      </c>
      <c r="I65" s="38">
        <f>D$14-I66</f>
        <v>11</v>
      </c>
      <c r="J65" s="34">
        <f aca="true" t="shared" si="5" ref="J65:J92">FACT(H65)</f>
        <v>1.0333147966386144E+40</v>
      </c>
      <c r="K65" s="34">
        <f aca="true" t="shared" si="6" ref="K65:K92">FACT(I65)</f>
        <v>39916800</v>
      </c>
      <c r="L65" s="36"/>
    </row>
    <row r="66" spans="2:13" ht="12.75">
      <c r="B66" s="38">
        <f>E$13-C66</f>
        <v>27</v>
      </c>
      <c r="C66" s="38">
        <f>C64-1</f>
        <v>-13</v>
      </c>
      <c r="D66" s="34">
        <f t="shared" si="3"/>
        <v>1.0888869450418352E+28</v>
      </c>
      <c r="E66" s="34" t="e">
        <f t="shared" si="4"/>
        <v>#NUM!</v>
      </c>
      <c r="F66" s="34">
        <f>IF(C66&lt;0,0,B$32/(D65*E65*D66*E66))</f>
        <v>0</v>
      </c>
      <c r="H66" s="38">
        <f>H64-1</f>
        <v>-5</v>
      </c>
      <c r="I66" s="38">
        <f>E$13-H66</f>
        <v>19</v>
      </c>
      <c r="J66" s="34" t="e">
        <f t="shared" si="5"/>
        <v>#NUM!</v>
      </c>
      <c r="K66" s="34">
        <f t="shared" si="6"/>
        <v>1.21645100408832E+17</v>
      </c>
      <c r="L66" s="39">
        <f>IF(I65&lt;0,0,IF(H66&lt;0,0,B$32/(J65*K65*J66*K66)))</f>
        <v>0</v>
      </c>
      <c r="M66" s="10">
        <f>IF(L66&gt;$M$33,0,L66)</f>
        <v>0</v>
      </c>
    </row>
    <row r="67" spans="1:12" ht="12.75">
      <c r="A67" s="37" t="s">
        <v>149</v>
      </c>
      <c r="B67" s="38">
        <f>E$12-C67</f>
        <v>2</v>
      </c>
      <c r="C67" s="38">
        <f>D$14-C68</f>
        <v>44</v>
      </c>
      <c r="D67" s="34">
        <f t="shared" si="3"/>
        <v>2</v>
      </c>
      <c r="E67" s="34">
        <f t="shared" si="4"/>
        <v>2.6582715747884495E+54</v>
      </c>
      <c r="H67" s="38">
        <f>E$12-I67</f>
        <v>36</v>
      </c>
      <c r="I67" s="38">
        <f>D$14-I68</f>
        <v>10</v>
      </c>
      <c r="J67" s="34">
        <f t="shared" si="5"/>
        <v>3.719933267899013E+41</v>
      </c>
      <c r="K67" s="34">
        <f t="shared" si="6"/>
        <v>3628800</v>
      </c>
      <c r="L67" s="36"/>
    </row>
    <row r="68" spans="2:13" ht="12.75">
      <c r="B68" s="38">
        <f>E$13-C68</f>
        <v>28</v>
      </c>
      <c r="C68" s="38">
        <f>C66-1</f>
        <v>-14</v>
      </c>
      <c r="D68" s="34">
        <f t="shared" si="3"/>
        <v>3.048883446117138E+29</v>
      </c>
      <c r="E68" s="34" t="e">
        <f t="shared" si="4"/>
        <v>#NUM!</v>
      </c>
      <c r="F68" s="34">
        <f>IF(C68&lt;0,0,B$32/(D67*E67*D68*E68))</f>
        <v>0</v>
      </c>
      <c r="H68" s="38">
        <f>H66-1</f>
        <v>-6</v>
      </c>
      <c r="I68" s="38">
        <f>E$13-H68</f>
        <v>20</v>
      </c>
      <c r="J68" s="34" t="e">
        <f t="shared" si="5"/>
        <v>#NUM!</v>
      </c>
      <c r="K68" s="34">
        <f t="shared" si="6"/>
        <v>2.43290200817664E+18</v>
      </c>
      <c r="L68" s="39">
        <f>IF(I67&lt;0,0,IF(H68&lt;0,0,B$32/(J67*K67*J68*K68)))</f>
        <v>0</v>
      </c>
      <c r="M68" s="10">
        <f>IF(L68&gt;$M$33,0,L68)</f>
        <v>0</v>
      </c>
    </row>
    <row r="69" spans="1:12" ht="12.75">
      <c r="A69" s="37" t="s">
        <v>150</v>
      </c>
      <c r="B69" s="38">
        <f>E$12-C69</f>
        <v>1</v>
      </c>
      <c r="C69" s="38">
        <f>D$14-C70</f>
        <v>45</v>
      </c>
      <c r="D69" s="34">
        <f t="shared" si="3"/>
        <v>1</v>
      </c>
      <c r="E69" s="34">
        <f t="shared" si="4"/>
        <v>1.196222208654802E+56</v>
      </c>
      <c r="H69" s="38">
        <f>E$12-I69</f>
        <v>37</v>
      </c>
      <c r="I69" s="38">
        <f>D$14-I70</f>
        <v>9</v>
      </c>
      <c r="J69" s="34">
        <f t="shared" si="5"/>
        <v>1.3763753091226346E+43</v>
      </c>
      <c r="K69" s="34">
        <f t="shared" si="6"/>
        <v>362880</v>
      </c>
      <c r="L69" s="36"/>
    </row>
    <row r="70" spans="2:13" ht="12.75">
      <c r="B70" s="38">
        <f>E$13-C70</f>
        <v>29</v>
      </c>
      <c r="C70" s="38">
        <f>C68-1</f>
        <v>-15</v>
      </c>
      <c r="D70" s="34">
        <f t="shared" si="3"/>
        <v>8.841761993739701E+30</v>
      </c>
      <c r="E70" s="34" t="e">
        <f t="shared" si="4"/>
        <v>#NUM!</v>
      </c>
      <c r="F70" s="34">
        <f>IF(C70&lt;0,0,B$32/(D69*E69*D70*E70))</f>
        <v>0</v>
      </c>
      <c r="H70" s="38">
        <f>H68-1</f>
        <v>-7</v>
      </c>
      <c r="I70" s="38">
        <f>E$13-H70</f>
        <v>21</v>
      </c>
      <c r="J70" s="34" t="e">
        <f t="shared" si="5"/>
        <v>#NUM!</v>
      </c>
      <c r="K70" s="34">
        <f t="shared" si="6"/>
        <v>5.109094217170944E+19</v>
      </c>
      <c r="L70" s="39">
        <f>IF(I69&lt;0,0,IF(H70&lt;0,0,B$32/(J69*K69*J70*K70)))</f>
        <v>0</v>
      </c>
      <c r="M70" s="10">
        <f>IF(L70&gt;$M$33,0,L70)</f>
        <v>0</v>
      </c>
    </row>
    <row r="71" spans="1:12" ht="12.75">
      <c r="A71" s="37" t="s">
        <v>151</v>
      </c>
      <c r="B71" s="38">
        <f>E$12-C71</f>
        <v>0</v>
      </c>
      <c r="C71" s="38">
        <f>D$14-C72</f>
        <v>46</v>
      </c>
      <c r="D71" s="34">
        <f t="shared" si="3"/>
        <v>1</v>
      </c>
      <c r="E71" s="34">
        <f t="shared" si="4"/>
        <v>5.502622159812089E+57</v>
      </c>
      <c r="H71" s="38">
        <f>E$12-I71</f>
        <v>38</v>
      </c>
      <c r="I71" s="38">
        <f>D$14-I72</f>
        <v>8</v>
      </c>
      <c r="J71" s="34">
        <f t="shared" si="5"/>
        <v>5.23022617466601E+44</v>
      </c>
      <c r="K71" s="34">
        <f t="shared" si="6"/>
        <v>40320</v>
      </c>
      <c r="L71" s="36"/>
    </row>
    <row r="72" spans="2:13" ht="12.75">
      <c r="B72" s="38">
        <f>E$13-C72</f>
        <v>30</v>
      </c>
      <c r="C72" s="38">
        <f>C70-1</f>
        <v>-16</v>
      </c>
      <c r="D72" s="34">
        <f t="shared" si="3"/>
        <v>2.652528598121911E+32</v>
      </c>
      <c r="E72" s="34" t="e">
        <f t="shared" si="4"/>
        <v>#NUM!</v>
      </c>
      <c r="F72" s="34">
        <f>IF(C72&lt;0,0,B$32/(D71*E71*D72*E72))</f>
        <v>0</v>
      </c>
      <c r="H72" s="38">
        <f>H70-1</f>
        <v>-8</v>
      </c>
      <c r="I72" s="38">
        <f>E$13-H72</f>
        <v>22</v>
      </c>
      <c r="J72" s="34" t="e">
        <f t="shared" si="5"/>
        <v>#NUM!</v>
      </c>
      <c r="K72" s="34">
        <f t="shared" si="6"/>
        <v>1.1240007277776077E+21</v>
      </c>
      <c r="L72" s="39">
        <f>IF(I71&lt;0,0,IF(H72&lt;0,0,B$32/(J71*K71*J72*K72)))</f>
        <v>0</v>
      </c>
      <c r="M72" s="10">
        <f>IF(L72&gt;$M$33,0,L72)</f>
        <v>0</v>
      </c>
    </row>
    <row r="73" spans="1:12" ht="12.75">
      <c r="A73" s="37" t="s">
        <v>152</v>
      </c>
      <c r="B73" s="38">
        <f>E$12-C73</f>
        <v>-1</v>
      </c>
      <c r="C73" s="38">
        <f>D$14-C74</f>
        <v>47</v>
      </c>
      <c r="D73" s="34" t="e">
        <f t="shared" si="3"/>
        <v>#NUM!</v>
      </c>
      <c r="E73" s="34">
        <f t="shared" si="4"/>
        <v>2.5862324151116827E+59</v>
      </c>
      <c r="H73" s="38">
        <f>E$12-I73</f>
        <v>39</v>
      </c>
      <c r="I73" s="38">
        <f>D$14-I74</f>
        <v>7</v>
      </c>
      <c r="J73" s="34">
        <f t="shared" si="5"/>
        <v>2.0397882081197447E+46</v>
      </c>
      <c r="K73" s="34">
        <f t="shared" si="6"/>
        <v>5040</v>
      </c>
      <c r="L73" s="36"/>
    </row>
    <row r="74" spans="2:13" ht="12.75">
      <c r="B74" s="38">
        <f>E$13-C74</f>
        <v>31</v>
      </c>
      <c r="C74" s="38">
        <f>C72-1</f>
        <v>-17</v>
      </c>
      <c r="D74" s="34">
        <f t="shared" si="3"/>
        <v>8.222838654177924E+33</v>
      </c>
      <c r="E74" s="34" t="e">
        <f t="shared" si="4"/>
        <v>#NUM!</v>
      </c>
      <c r="F74" s="34">
        <f>IF(C74&lt;0,0,B$32/(D73*E73*D74*E74))</f>
        <v>0</v>
      </c>
      <c r="G74" s="40"/>
      <c r="H74" s="38">
        <f>H72-1</f>
        <v>-9</v>
      </c>
      <c r="I74" s="38">
        <f>E$13-H74</f>
        <v>23</v>
      </c>
      <c r="J74" s="34" t="e">
        <f t="shared" si="5"/>
        <v>#NUM!</v>
      </c>
      <c r="K74" s="34">
        <f t="shared" si="6"/>
        <v>2.585201673888498E+22</v>
      </c>
      <c r="L74" s="39">
        <f>IF(I73&lt;0,0,IF(H74&lt;0,0,B$32/(J73*K73*J74*K74)))</f>
        <v>0</v>
      </c>
      <c r="M74" s="10">
        <f>IF(L74&gt;$M$33,0,L74)</f>
        <v>0</v>
      </c>
    </row>
    <row r="75" spans="1:12" ht="12.75">
      <c r="A75" s="37" t="s">
        <v>153</v>
      </c>
      <c r="B75" s="38">
        <f>E$12-C75</f>
        <v>-2</v>
      </c>
      <c r="C75" s="38">
        <f>D$14-C76</f>
        <v>48</v>
      </c>
      <c r="D75" s="34" t="e">
        <f t="shared" si="3"/>
        <v>#NUM!</v>
      </c>
      <c r="E75" s="34">
        <f t="shared" si="4"/>
        <v>1.2413915592536068E+61</v>
      </c>
      <c r="H75" s="38">
        <f>E$12-I75</f>
        <v>40</v>
      </c>
      <c r="I75" s="38">
        <f>D$14-I76</f>
        <v>6</v>
      </c>
      <c r="J75" s="34">
        <f t="shared" si="5"/>
        <v>8.15915283247898E+47</v>
      </c>
      <c r="K75" s="34">
        <f t="shared" si="6"/>
        <v>720</v>
      </c>
      <c r="L75" s="36"/>
    </row>
    <row r="76" spans="2:13" ht="12.75">
      <c r="B76" s="38">
        <f>E$13-C76</f>
        <v>32</v>
      </c>
      <c r="C76" s="38">
        <f>C74-1</f>
        <v>-18</v>
      </c>
      <c r="D76" s="34">
        <f t="shared" si="3"/>
        <v>2.6313083693369355E+35</v>
      </c>
      <c r="E76" s="34" t="e">
        <f t="shared" si="4"/>
        <v>#NUM!</v>
      </c>
      <c r="F76" s="34">
        <f>IF(C76&lt;0,0,B$32/(D75*E75*D76*E76))</f>
        <v>0</v>
      </c>
      <c r="H76" s="38">
        <f>H74-1</f>
        <v>-10</v>
      </c>
      <c r="I76" s="38">
        <f>E$13-H76</f>
        <v>24</v>
      </c>
      <c r="J76" s="34" t="e">
        <f t="shared" si="5"/>
        <v>#NUM!</v>
      </c>
      <c r="K76" s="34">
        <f t="shared" si="6"/>
        <v>6.204484017332394E+23</v>
      </c>
      <c r="L76" s="39">
        <f>IF(I75&lt;0,0,IF(H76&lt;0,0,B$32/(J75*K75*J76*K76)))</f>
        <v>0</v>
      </c>
      <c r="M76" s="10">
        <f>IF(L76&gt;$M$33,0,L76)</f>
        <v>0</v>
      </c>
    </row>
    <row r="77" spans="1:12" ht="12.75">
      <c r="A77" s="37" t="s">
        <v>154</v>
      </c>
      <c r="B77" s="38">
        <f>E$12-C77</f>
        <v>-3</v>
      </c>
      <c r="C77" s="38">
        <f>D$14-C78</f>
        <v>49</v>
      </c>
      <c r="D77" s="34" t="e">
        <f t="shared" si="3"/>
        <v>#NUM!</v>
      </c>
      <c r="E77" s="34">
        <f t="shared" si="4"/>
        <v>6.082818640342679E+62</v>
      </c>
      <c r="H77" s="38">
        <f>E$12-I77</f>
        <v>41</v>
      </c>
      <c r="I77" s="38">
        <f>D$14-I78</f>
        <v>5</v>
      </c>
      <c r="J77" s="34">
        <f t="shared" si="5"/>
        <v>3.34525266131638E+49</v>
      </c>
      <c r="K77" s="34">
        <f t="shared" si="6"/>
        <v>120</v>
      </c>
      <c r="L77" s="36"/>
    </row>
    <row r="78" spans="2:13" ht="12.75">
      <c r="B78" s="38">
        <f>E$13-C78</f>
        <v>33</v>
      </c>
      <c r="C78" s="38">
        <f>C76-1</f>
        <v>-19</v>
      </c>
      <c r="D78" s="34">
        <f t="shared" si="3"/>
        <v>8.68331761881189E+36</v>
      </c>
      <c r="E78" s="34" t="e">
        <f t="shared" si="4"/>
        <v>#NUM!</v>
      </c>
      <c r="F78" s="34">
        <f>IF(C78&lt;0,0,B$32/(D77*E77*D78*E78))</f>
        <v>0</v>
      </c>
      <c r="H78" s="38">
        <f>H76-1</f>
        <v>-11</v>
      </c>
      <c r="I78" s="38">
        <f>E$13-H78</f>
        <v>25</v>
      </c>
      <c r="J78" s="34" t="e">
        <f t="shared" si="5"/>
        <v>#NUM!</v>
      </c>
      <c r="K78" s="34">
        <f t="shared" si="6"/>
        <v>1.5511210043330984E+25</v>
      </c>
      <c r="L78" s="39">
        <f>IF(I77&lt;0,0,IF(H78&lt;0,0,B$32/(J77*K77*J78*K78)))</f>
        <v>0</v>
      </c>
      <c r="M78" s="10">
        <f>IF(L78&gt;$M$33,0,L78)</f>
        <v>0</v>
      </c>
    </row>
    <row r="79" spans="1:12" ht="12.75">
      <c r="A79" s="37" t="s">
        <v>155</v>
      </c>
      <c r="B79" s="38">
        <f>E$12-C79</f>
        <v>-4</v>
      </c>
      <c r="C79" s="38">
        <f>D$14-C80</f>
        <v>50</v>
      </c>
      <c r="D79" s="34" t="e">
        <f t="shared" si="3"/>
        <v>#NUM!</v>
      </c>
      <c r="E79" s="34">
        <f t="shared" si="4"/>
        <v>3.0414093201713376E+64</v>
      </c>
      <c r="H79" s="38">
        <f>E$12-I79</f>
        <v>42</v>
      </c>
      <c r="I79" s="38">
        <f>D$14-I80</f>
        <v>4</v>
      </c>
      <c r="J79" s="34">
        <f t="shared" si="5"/>
        <v>1.4050061177528801E+51</v>
      </c>
      <c r="K79" s="34">
        <f t="shared" si="6"/>
        <v>24</v>
      </c>
      <c r="L79" s="36"/>
    </row>
    <row r="80" spans="2:13" ht="12.75">
      <c r="B80" s="38">
        <f>E$13-C80</f>
        <v>34</v>
      </c>
      <c r="C80" s="38">
        <f>C78-1</f>
        <v>-20</v>
      </c>
      <c r="D80" s="34">
        <f t="shared" si="3"/>
        <v>2.952327990396041E+38</v>
      </c>
      <c r="E80" s="34" t="e">
        <f t="shared" si="4"/>
        <v>#NUM!</v>
      </c>
      <c r="F80" s="34">
        <f>IF(C80&lt;0,0,B$32/(D79*E79*D80*E80))</f>
        <v>0</v>
      </c>
      <c r="H80" s="38">
        <f>H78-1</f>
        <v>-12</v>
      </c>
      <c r="I80" s="38">
        <f>E$13-H80</f>
        <v>26</v>
      </c>
      <c r="J80" s="34" t="e">
        <f t="shared" si="5"/>
        <v>#NUM!</v>
      </c>
      <c r="K80" s="34">
        <f t="shared" si="6"/>
        <v>4.032914611266057E+26</v>
      </c>
      <c r="L80" s="39">
        <f>IF(I79&lt;0,0,IF(H80&lt;0,0,B$32/(J79*K79*J80*K80)))</f>
        <v>0</v>
      </c>
      <c r="M80" s="10">
        <f>IF(L80&gt;$M$33,0,L80)</f>
        <v>0</v>
      </c>
    </row>
    <row r="81" spans="1:12" ht="12.75">
      <c r="A81" s="37" t="s">
        <v>156</v>
      </c>
      <c r="B81" s="38">
        <f>E$12-C81</f>
        <v>-5</v>
      </c>
      <c r="C81" s="38">
        <f>D$14-C82</f>
        <v>51</v>
      </c>
      <c r="D81" s="34" t="e">
        <f t="shared" si="3"/>
        <v>#NUM!</v>
      </c>
      <c r="E81" s="34">
        <f t="shared" si="4"/>
        <v>1.5511187532873816E+66</v>
      </c>
      <c r="H81" s="38">
        <f>E$12-I81</f>
        <v>43</v>
      </c>
      <c r="I81" s="38">
        <f>D$14-I82</f>
        <v>3</v>
      </c>
      <c r="J81" s="34">
        <f t="shared" si="5"/>
        <v>6.041526306337384E+52</v>
      </c>
      <c r="K81" s="34">
        <f t="shared" si="6"/>
        <v>6</v>
      </c>
      <c r="L81" s="36"/>
    </row>
    <row r="82" spans="2:13" ht="12.75">
      <c r="B82" s="38">
        <f>E$13-C82</f>
        <v>35</v>
      </c>
      <c r="C82" s="38">
        <f>C80-1</f>
        <v>-21</v>
      </c>
      <c r="D82" s="34">
        <f t="shared" si="3"/>
        <v>1.0333147966386144E+40</v>
      </c>
      <c r="E82" s="34" t="e">
        <f t="shared" si="4"/>
        <v>#NUM!</v>
      </c>
      <c r="F82" s="34">
        <f>IF(C82&lt;0,0,B$32/(D81*E81*D82*E82))</f>
        <v>0</v>
      </c>
      <c r="H82" s="38">
        <f>H80-1</f>
        <v>-13</v>
      </c>
      <c r="I82" s="38">
        <f>E$13-H82</f>
        <v>27</v>
      </c>
      <c r="J82" s="34" t="e">
        <f t="shared" si="5"/>
        <v>#NUM!</v>
      </c>
      <c r="K82" s="34">
        <f t="shared" si="6"/>
        <v>1.0888869450418352E+28</v>
      </c>
      <c r="L82" s="39">
        <f>IF(I81&lt;0,0,IF(H82&lt;0,0,B$32/(J81*K81*J82*K82)))</f>
        <v>0</v>
      </c>
      <c r="M82" s="10">
        <f>IF(L82&gt;$M$33,0,L82)</f>
        <v>0</v>
      </c>
    </row>
    <row r="83" spans="1:12" ht="12.75">
      <c r="A83" s="37" t="s">
        <v>157</v>
      </c>
      <c r="B83" s="38">
        <f>E$12-C83</f>
        <v>-6</v>
      </c>
      <c r="C83" s="38">
        <f>D$14-C84</f>
        <v>52</v>
      </c>
      <c r="D83" s="34" t="e">
        <f t="shared" si="3"/>
        <v>#NUM!</v>
      </c>
      <c r="E83" s="34">
        <f t="shared" si="4"/>
        <v>8.06581751709439E+67</v>
      </c>
      <c r="H83" s="38">
        <f>E$12-I83</f>
        <v>44</v>
      </c>
      <c r="I83" s="38">
        <f>D$14-I84</f>
        <v>2</v>
      </c>
      <c r="J83" s="34">
        <f t="shared" si="5"/>
        <v>2.6582715747884495E+54</v>
      </c>
      <c r="K83" s="34">
        <f t="shared" si="6"/>
        <v>2</v>
      </c>
      <c r="L83" s="36"/>
    </row>
    <row r="84" spans="2:13" ht="12.75">
      <c r="B84" s="38">
        <f>E$13-C84</f>
        <v>36</v>
      </c>
      <c r="C84" s="38">
        <f>C82-1</f>
        <v>-22</v>
      </c>
      <c r="D84" s="34">
        <f t="shared" si="3"/>
        <v>3.719933267899013E+41</v>
      </c>
      <c r="E84" s="34" t="e">
        <f t="shared" si="4"/>
        <v>#NUM!</v>
      </c>
      <c r="F84" s="34">
        <f>IF(C84&lt;0,0,B$32/(D83*E83*D84*E84))</f>
        <v>0</v>
      </c>
      <c r="H84" s="38">
        <f>H82-1</f>
        <v>-14</v>
      </c>
      <c r="I84" s="38">
        <f>E$13-H84</f>
        <v>28</v>
      </c>
      <c r="J84" s="34" t="e">
        <f t="shared" si="5"/>
        <v>#NUM!</v>
      </c>
      <c r="K84" s="34">
        <f t="shared" si="6"/>
        <v>3.048883446117138E+29</v>
      </c>
      <c r="L84" s="39">
        <f>IF(I83&lt;0,0,IF(H84&lt;0,0,B$32/(J83*K83*J84*K84)))</f>
        <v>0</v>
      </c>
      <c r="M84" s="10">
        <f>IF(L84&gt;$M$33,0,L84)</f>
        <v>0</v>
      </c>
    </row>
    <row r="85" spans="8:12" ht="12.75">
      <c r="H85" s="38">
        <f>E$12-I85</f>
        <v>45</v>
      </c>
      <c r="I85" s="38">
        <f>D$14-I86</f>
        <v>1</v>
      </c>
      <c r="J85" s="34">
        <f t="shared" si="5"/>
        <v>1.196222208654802E+56</v>
      </c>
      <c r="K85" s="34">
        <f t="shared" si="6"/>
        <v>1</v>
      </c>
      <c r="L85" s="36"/>
    </row>
    <row r="86" spans="8:13" ht="12.75">
      <c r="H86" s="38">
        <f>H84-1</f>
        <v>-15</v>
      </c>
      <c r="I86" s="38">
        <f>E$13-H86</f>
        <v>29</v>
      </c>
      <c r="J86" s="34" t="e">
        <f t="shared" si="5"/>
        <v>#NUM!</v>
      </c>
      <c r="K86" s="34">
        <f t="shared" si="6"/>
        <v>8.841761993739701E+30</v>
      </c>
      <c r="L86" s="39">
        <f>IF(I85&lt;0,0,IF(H86&lt;0,0,B$32/(J85*K85*J86*K86)))</f>
        <v>0</v>
      </c>
      <c r="M86" s="10">
        <f>IF(L86&gt;$M$33,0,L86)</f>
        <v>0</v>
      </c>
    </row>
    <row r="87" spans="8:12" ht="12.75">
      <c r="H87" s="38">
        <f>E$12-I87</f>
        <v>46</v>
      </c>
      <c r="I87" s="38">
        <f>D$14-I88</f>
        <v>0</v>
      </c>
      <c r="J87" s="34">
        <f t="shared" si="5"/>
        <v>5.502622159812089E+57</v>
      </c>
      <c r="K87" s="34">
        <f t="shared" si="6"/>
        <v>1</v>
      </c>
      <c r="L87" s="36"/>
    </row>
    <row r="88" spans="8:13" ht="12.75">
      <c r="H88" s="38">
        <f>H86-1</f>
        <v>-16</v>
      </c>
      <c r="I88" s="38">
        <f>E$13-H88</f>
        <v>30</v>
      </c>
      <c r="J88" s="34" t="e">
        <f t="shared" si="5"/>
        <v>#NUM!</v>
      </c>
      <c r="K88" s="34">
        <f t="shared" si="6"/>
        <v>2.652528598121911E+32</v>
      </c>
      <c r="L88" s="39">
        <f>IF(I87&lt;0,0,IF(H88&lt;0,0,B$32/(J87*K87*J88*K88)))</f>
        <v>0</v>
      </c>
      <c r="M88" s="10">
        <f>IF(L88&gt;$M$33,0,L88)</f>
        <v>0</v>
      </c>
    </row>
    <row r="89" spans="8:12" ht="12.75">
      <c r="H89" s="38">
        <f>E$12-I89</f>
        <v>47</v>
      </c>
      <c r="I89" s="38">
        <f>D$14-I90</f>
        <v>-1</v>
      </c>
      <c r="J89" s="34">
        <f t="shared" si="5"/>
        <v>2.5862324151116827E+59</v>
      </c>
      <c r="K89" s="34" t="e">
        <f t="shared" si="6"/>
        <v>#NUM!</v>
      </c>
      <c r="L89" s="36"/>
    </row>
    <row r="90" spans="8:13" ht="12.75">
      <c r="H90" s="38">
        <f>H88-1</f>
        <v>-17</v>
      </c>
      <c r="I90" s="38">
        <f>E$13-H90</f>
        <v>31</v>
      </c>
      <c r="J90" s="34" t="e">
        <f t="shared" si="5"/>
        <v>#NUM!</v>
      </c>
      <c r="K90" s="34">
        <f t="shared" si="6"/>
        <v>8.222838654177924E+33</v>
      </c>
      <c r="L90" s="39">
        <f>IF(I89&lt;0,0,IF(H90&lt;0,0,B$32/(J89*K89*J90*K90)))</f>
        <v>0</v>
      </c>
      <c r="M90" s="10">
        <f>IF(L90&gt;$M$33,0,L90)</f>
        <v>0</v>
      </c>
    </row>
    <row r="91" spans="8:12" ht="12.75">
      <c r="H91" s="38">
        <f>E$12-I91</f>
        <v>48</v>
      </c>
      <c r="I91" s="38">
        <f>D$14-I92</f>
        <v>-2</v>
      </c>
      <c r="J91" s="34">
        <f t="shared" si="5"/>
        <v>1.2413915592536068E+61</v>
      </c>
      <c r="K91" s="34" t="e">
        <f t="shared" si="6"/>
        <v>#NUM!</v>
      </c>
      <c r="L91" s="36"/>
    </row>
    <row r="92" spans="8:13" ht="12.75">
      <c r="H92" s="38">
        <f>H90-1</f>
        <v>-18</v>
      </c>
      <c r="I92" s="38">
        <f>E$13-H92</f>
        <v>32</v>
      </c>
      <c r="J92" s="34" t="e">
        <f t="shared" si="5"/>
        <v>#NUM!</v>
      </c>
      <c r="K92" s="34">
        <f t="shared" si="6"/>
        <v>2.6313083693369355E+35</v>
      </c>
      <c r="L92" s="39">
        <f>IF(I91&lt;0,0,IF(H92&lt;0,0,B$32/(J91*K91*J92*K92)))</f>
        <v>0</v>
      </c>
      <c r="M92" s="10">
        <f>IF(L92&gt;$M$33,0,L92)</f>
        <v>0</v>
      </c>
    </row>
    <row r="93" spans="8:12" ht="12.75">
      <c r="H93" s="38">
        <f>E$12-I93</f>
        <v>49</v>
      </c>
      <c r="I93" s="38">
        <f>D$14-I94</f>
        <v>-3</v>
      </c>
      <c r="J93" s="34">
        <f aca="true" t="shared" si="7" ref="J93:J112">FACT(H93)</f>
        <v>6.082818640342679E+62</v>
      </c>
      <c r="K93" s="34" t="e">
        <f aca="true" t="shared" si="8" ref="K93:K112">FACT(I93)</f>
        <v>#NUM!</v>
      </c>
      <c r="L93" s="36"/>
    </row>
    <row r="94" spans="8:13" ht="12.75">
      <c r="H94" s="38">
        <f>H92-1</f>
        <v>-19</v>
      </c>
      <c r="I94" s="38">
        <f>E$13-H94</f>
        <v>33</v>
      </c>
      <c r="J94" s="34" t="e">
        <f t="shared" si="7"/>
        <v>#NUM!</v>
      </c>
      <c r="K94" s="34">
        <f t="shared" si="8"/>
        <v>8.68331761881189E+36</v>
      </c>
      <c r="L94" s="39">
        <f>IF(I93&lt;0,0,IF(H94&lt;0,0,B$32/(J93*K93*J94*K94)))</f>
        <v>0</v>
      </c>
      <c r="M94" s="10">
        <f>IF(L94&gt;$M$33,0,L94)</f>
        <v>0</v>
      </c>
    </row>
    <row r="95" spans="8:12" ht="12.75">
      <c r="H95" s="38">
        <f>E$12-I95</f>
        <v>50</v>
      </c>
      <c r="I95" s="38">
        <f>D$14-I96</f>
        <v>-4</v>
      </c>
      <c r="J95" s="34">
        <f t="shared" si="7"/>
        <v>3.0414093201713376E+64</v>
      </c>
      <c r="K95" s="34" t="e">
        <f t="shared" si="8"/>
        <v>#NUM!</v>
      </c>
      <c r="L95" s="36"/>
    </row>
    <row r="96" spans="8:13" ht="12.75">
      <c r="H96" s="38">
        <f>H94-1</f>
        <v>-20</v>
      </c>
      <c r="I96" s="38">
        <f>E$13-H96</f>
        <v>34</v>
      </c>
      <c r="J96" s="34" t="e">
        <f t="shared" si="7"/>
        <v>#NUM!</v>
      </c>
      <c r="K96" s="34">
        <f t="shared" si="8"/>
        <v>2.952327990396041E+38</v>
      </c>
      <c r="L96" s="39">
        <f>IF(I95&lt;0,0,IF(H96&lt;0,0,B$32/(J95*K95*J96*K96)))</f>
        <v>0</v>
      </c>
      <c r="M96" s="10">
        <f>IF(L96&gt;$M$33,0,L96)</f>
        <v>0</v>
      </c>
    </row>
    <row r="97" spans="8:12" ht="12.75">
      <c r="H97" s="38">
        <f>E$12-I97</f>
        <v>51</v>
      </c>
      <c r="I97" s="38">
        <f>D$14-I98</f>
        <v>-5</v>
      </c>
      <c r="J97" s="34">
        <f t="shared" si="7"/>
        <v>1.5511187532873816E+66</v>
      </c>
      <c r="K97" s="34" t="e">
        <f t="shared" si="8"/>
        <v>#NUM!</v>
      </c>
      <c r="L97" s="36"/>
    </row>
    <row r="98" spans="8:13" ht="12.75">
      <c r="H98" s="38">
        <f>H96-1</f>
        <v>-21</v>
      </c>
      <c r="I98" s="38">
        <f>E$13-H98</f>
        <v>35</v>
      </c>
      <c r="J98" s="34" t="e">
        <f t="shared" si="7"/>
        <v>#NUM!</v>
      </c>
      <c r="K98" s="34">
        <f t="shared" si="8"/>
        <v>1.0333147966386144E+40</v>
      </c>
      <c r="L98" s="39">
        <f>IF(I97&lt;0,0,IF(H98&lt;0,0,B$32/(J97*K97*J98*K98)))</f>
        <v>0</v>
      </c>
      <c r="M98" s="10">
        <f>IF(L98&gt;$M$33,0,L98)</f>
        <v>0</v>
      </c>
    </row>
    <row r="99" spans="8:12" ht="12.75">
      <c r="H99" s="38">
        <f>E$12-I99</f>
        <v>52</v>
      </c>
      <c r="I99" s="38">
        <f>D$14-I100</f>
        <v>-6</v>
      </c>
      <c r="J99" s="34">
        <f t="shared" si="7"/>
        <v>8.06581751709439E+67</v>
      </c>
      <c r="K99" s="34" t="e">
        <f t="shared" si="8"/>
        <v>#NUM!</v>
      </c>
      <c r="L99" s="36"/>
    </row>
    <row r="100" spans="8:13" ht="12.75">
      <c r="H100" s="38">
        <f>H98-1</f>
        <v>-22</v>
      </c>
      <c r="I100" s="38">
        <f>E$13-H100</f>
        <v>36</v>
      </c>
      <c r="J100" s="34" t="e">
        <f t="shared" si="7"/>
        <v>#NUM!</v>
      </c>
      <c r="K100" s="34">
        <f t="shared" si="8"/>
        <v>3.719933267899013E+41</v>
      </c>
      <c r="L100" s="39">
        <f>IF(I99&lt;0,0,IF(H100&lt;0,0,B$32/(J99*K99*J100*K100)))</f>
        <v>0</v>
      </c>
      <c r="M100" s="10">
        <f>IF(L100&gt;$M$33,0,L100)</f>
        <v>0</v>
      </c>
    </row>
    <row r="101" spans="8:12" ht="12.75">
      <c r="H101" s="38">
        <f>E$12-I101</f>
        <v>53</v>
      </c>
      <c r="I101" s="38">
        <f>D$14-I102</f>
        <v>-7</v>
      </c>
      <c r="J101" s="34">
        <f t="shared" si="7"/>
        <v>4.274883284060024E+69</v>
      </c>
      <c r="K101" s="34" t="e">
        <f t="shared" si="8"/>
        <v>#NUM!</v>
      </c>
      <c r="L101" s="36"/>
    </row>
    <row r="102" spans="8:13" ht="12.75">
      <c r="H102" s="38">
        <f>H100-1</f>
        <v>-23</v>
      </c>
      <c r="I102" s="38">
        <f>E$13-H102</f>
        <v>37</v>
      </c>
      <c r="J102" s="34" t="e">
        <f t="shared" si="7"/>
        <v>#NUM!</v>
      </c>
      <c r="K102" s="34">
        <f t="shared" si="8"/>
        <v>1.3763753091226346E+43</v>
      </c>
      <c r="L102" s="39">
        <f>IF(I101&lt;0,0,IF(H102&lt;0,0,B$32/(J101*K101*J102*K102)))</f>
        <v>0</v>
      </c>
      <c r="M102" s="10">
        <f>IF(L102&gt;$M$33,0,L102)</f>
        <v>0</v>
      </c>
    </row>
    <row r="103" spans="8:12" ht="12.75">
      <c r="H103" s="38">
        <f>E$12-I103</f>
        <v>54</v>
      </c>
      <c r="I103" s="38">
        <f>D$14-I104</f>
        <v>-8</v>
      </c>
      <c r="J103" s="34">
        <f t="shared" si="7"/>
        <v>2.308436973392413E+71</v>
      </c>
      <c r="K103" s="34" t="e">
        <f t="shared" si="8"/>
        <v>#NUM!</v>
      </c>
      <c r="L103" s="36"/>
    </row>
    <row r="104" spans="8:13" ht="12.75">
      <c r="H104" s="38">
        <f>H102-1</f>
        <v>-24</v>
      </c>
      <c r="I104" s="38">
        <f>E$13-H104</f>
        <v>38</v>
      </c>
      <c r="J104" s="34" t="e">
        <f t="shared" si="7"/>
        <v>#NUM!</v>
      </c>
      <c r="K104" s="34">
        <f t="shared" si="8"/>
        <v>5.23022617466601E+44</v>
      </c>
      <c r="L104" s="39">
        <f>IF(I103&lt;0,0,IF(H104&lt;0,0,B$32/(J103*K103*J104*K104)))</f>
        <v>0</v>
      </c>
      <c r="M104" s="10">
        <f>IF(L104&gt;$M$33,0,L104)</f>
        <v>0</v>
      </c>
    </row>
    <row r="105" spans="8:12" ht="12.75">
      <c r="H105" s="38">
        <f>E$12-I105</f>
        <v>55</v>
      </c>
      <c r="I105" s="38">
        <f>D$14-I106</f>
        <v>-9</v>
      </c>
      <c r="J105" s="34">
        <f t="shared" si="7"/>
        <v>1.2696403353658264E+73</v>
      </c>
      <c r="K105" s="34" t="e">
        <f t="shared" si="8"/>
        <v>#NUM!</v>
      </c>
      <c r="L105" s="36"/>
    </row>
    <row r="106" spans="8:13" ht="12.75">
      <c r="H106" s="38">
        <f>H104-1</f>
        <v>-25</v>
      </c>
      <c r="I106" s="38">
        <f>E$13-H106</f>
        <v>39</v>
      </c>
      <c r="J106" s="34" t="e">
        <f t="shared" si="7"/>
        <v>#NUM!</v>
      </c>
      <c r="K106" s="34">
        <f t="shared" si="8"/>
        <v>2.0397882081197447E+46</v>
      </c>
      <c r="L106" s="39">
        <f>IF(I105&lt;0,0,IF(H106&lt;0,0,B$32/(J105*K105*J106*K106)))</f>
        <v>0</v>
      </c>
      <c r="M106" s="10">
        <f>IF(L106&gt;$M$33,0,L106)</f>
        <v>0</v>
      </c>
    </row>
    <row r="107" spans="8:12" ht="12.75">
      <c r="H107" s="38">
        <f>E$12-I107</f>
        <v>56</v>
      </c>
      <c r="I107" s="38">
        <f>D$14-I108</f>
        <v>-10</v>
      </c>
      <c r="J107" s="34">
        <f t="shared" si="7"/>
        <v>7.109985878048632E+74</v>
      </c>
      <c r="K107" s="34" t="e">
        <f t="shared" si="8"/>
        <v>#NUM!</v>
      </c>
      <c r="L107" s="36"/>
    </row>
    <row r="108" spans="8:13" ht="12.75">
      <c r="H108" s="38">
        <f>H106-1</f>
        <v>-26</v>
      </c>
      <c r="I108" s="38">
        <f>E$13-H108</f>
        <v>40</v>
      </c>
      <c r="J108" s="34" t="e">
        <f t="shared" si="7"/>
        <v>#NUM!</v>
      </c>
      <c r="K108" s="34">
        <f t="shared" si="8"/>
        <v>8.15915283247898E+47</v>
      </c>
      <c r="L108" s="39">
        <f>IF(I107&lt;0,0,IF(H108&lt;0,0,B$32/(J107*K107*J108*K108)))</f>
        <v>0</v>
      </c>
      <c r="M108" s="10">
        <f>IF(L108&gt;$M$33,0,L108)</f>
        <v>0</v>
      </c>
    </row>
    <row r="109" spans="8:12" ht="12.75">
      <c r="H109" s="38">
        <f>E$12-I109</f>
        <v>57</v>
      </c>
      <c r="I109" s="38">
        <f>D$14-I110</f>
        <v>-11</v>
      </c>
      <c r="J109" s="34">
        <f t="shared" si="7"/>
        <v>4.052691950487723E+76</v>
      </c>
      <c r="K109" s="34" t="e">
        <f t="shared" si="8"/>
        <v>#NUM!</v>
      </c>
      <c r="L109" s="36"/>
    </row>
    <row r="110" spans="8:13" ht="12.75">
      <c r="H110" s="38">
        <f>H108-1</f>
        <v>-27</v>
      </c>
      <c r="I110" s="38">
        <f>E$13-H110</f>
        <v>41</v>
      </c>
      <c r="J110" s="34" t="e">
        <f t="shared" si="7"/>
        <v>#NUM!</v>
      </c>
      <c r="K110" s="34">
        <f t="shared" si="8"/>
        <v>3.34525266131638E+49</v>
      </c>
      <c r="L110" s="39">
        <f>IF(I109&lt;0,0,IF(H110&lt;0,0,B$32/(J109*K109*J110*K110)))</f>
        <v>0</v>
      </c>
      <c r="M110" s="10">
        <f>IF(L110&gt;$M$33,0,L110)</f>
        <v>0</v>
      </c>
    </row>
    <row r="111" spans="8:12" ht="12.75">
      <c r="H111" s="38">
        <f>E$12-I111</f>
        <v>58</v>
      </c>
      <c r="I111" s="38">
        <f>D$14-I112</f>
        <v>-12</v>
      </c>
      <c r="J111" s="34">
        <f t="shared" si="7"/>
        <v>2.350561331282879E+78</v>
      </c>
      <c r="K111" s="34" t="e">
        <f t="shared" si="8"/>
        <v>#NUM!</v>
      </c>
      <c r="L111" s="36"/>
    </row>
    <row r="112" spans="8:13" ht="12.75">
      <c r="H112" s="38">
        <f>H110-1</f>
        <v>-28</v>
      </c>
      <c r="I112" s="38">
        <f>E$13-H112</f>
        <v>42</v>
      </c>
      <c r="J112" s="34" t="e">
        <f t="shared" si="7"/>
        <v>#NUM!</v>
      </c>
      <c r="K112" s="34">
        <f t="shared" si="8"/>
        <v>1.4050061177528801E+51</v>
      </c>
      <c r="L112" s="39">
        <f>IF(I111&lt;0,0,IF(H112&lt;0,0,B$32/(J111*K111*J112*K112)))</f>
        <v>0</v>
      </c>
      <c r="M112" s="10">
        <f>IF(L112&gt;$M$33,0,L112)</f>
        <v>0</v>
      </c>
    </row>
  </sheetData>
  <sheetProtection sheet="1" objects="1" scenarios="1"/>
  <printOptions/>
  <pageMargins left="0.5" right="0.5" top="1" bottom="1" header="0.5" footer="0.5"/>
  <pageSetup horizontalDpi="300" verticalDpi="300" orientation="portrait" r:id="rId2"/>
  <headerFooter alignWithMargins="0">
    <oddFooter>&amp;CPrinted on &amp;D &amp;T</oddFooter>
  </headerFooter>
  <legacyDrawing r:id="rId1"/>
</worksheet>
</file>

<file path=xl/worksheets/sheet5.xml><?xml version="1.0" encoding="utf-8"?>
<worksheet xmlns="http://schemas.openxmlformats.org/spreadsheetml/2006/main" xmlns:r="http://schemas.openxmlformats.org/officeDocument/2006/relationships">
  <sheetPr codeName="Sheet4" transitionEvaluation="1"/>
  <dimension ref="A1:I41"/>
  <sheetViews>
    <sheetView showGridLines="0" defaultGridColor="0" zoomScale="87" zoomScaleNormal="87" colorId="8" workbookViewId="0" topLeftCell="A9">
      <selection activeCell="D32" sqref="D32"/>
    </sheetView>
  </sheetViews>
  <sheetFormatPr defaultColWidth="12.57421875" defaultRowHeight="12.75"/>
  <cols>
    <col min="1" max="1" width="12.140625" style="42" customWidth="1"/>
    <col min="2" max="2" width="12.57421875" style="42" customWidth="1"/>
    <col min="3" max="3" width="15.140625" style="42" customWidth="1"/>
    <col min="4" max="4" width="16.7109375" style="42" customWidth="1"/>
    <col min="5" max="6" width="12.57421875" style="42" customWidth="1"/>
    <col min="7" max="7" width="7.28125" style="42" customWidth="1"/>
    <col min="8" max="16384" width="12.57421875" style="42" customWidth="1"/>
  </cols>
  <sheetData>
    <row r="1" spans="1:4" ht="15.75">
      <c r="A1" s="41" t="s">
        <v>43</v>
      </c>
      <c r="D1"/>
    </row>
    <row r="2" ht="15.75">
      <c r="A2" s="42" t="s">
        <v>44</v>
      </c>
    </row>
    <row r="3" ht="15.75">
      <c r="A3" s="41"/>
    </row>
    <row r="4" ht="15" customHeight="1">
      <c r="A4" s="42" t="s">
        <v>45</v>
      </c>
    </row>
    <row r="5" ht="15" customHeight="1">
      <c r="A5" s="42" t="s">
        <v>46</v>
      </c>
    </row>
    <row r="6" ht="15" customHeight="1">
      <c r="A6" s="42" t="s">
        <v>47</v>
      </c>
    </row>
    <row r="7" ht="15" customHeight="1"/>
    <row r="8" spans="1:2" ht="15.75">
      <c r="A8" s="149" t="s">
        <v>48</v>
      </c>
      <c r="B8" s="43" t="s">
        <v>49</v>
      </c>
    </row>
    <row r="9" ht="15" customHeight="1">
      <c r="B9" s="43" t="s">
        <v>50</v>
      </c>
    </row>
    <row r="10" ht="12" customHeight="1"/>
    <row r="11" spans="1:6" ht="15" customHeight="1">
      <c r="A11" s="149" t="s">
        <v>22</v>
      </c>
      <c r="B11" s="191" t="s">
        <v>222</v>
      </c>
      <c r="C11" s="150"/>
      <c r="D11" s="150"/>
      <c r="E11" s="150"/>
      <c r="F11" s="151"/>
    </row>
    <row r="12" ht="12" customHeight="1"/>
    <row r="13" spans="2:5" ht="15.75" thickBot="1">
      <c r="B13" s="44"/>
      <c r="C13" s="152" t="s">
        <v>220</v>
      </c>
      <c r="D13" s="152" t="s">
        <v>221</v>
      </c>
      <c r="E13" s="45" t="s">
        <v>23</v>
      </c>
    </row>
    <row r="14" spans="2:5" ht="15.75" thickTop="1">
      <c r="B14" s="192" t="s">
        <v>218</v>
      </c>
      <c r="C14" s="153">
        <v>5</v>
      </c>
      <c r="D14" s="153">
        <v>15</v>
      </c>
      <c r="E14" s="48">
        <f>C14+D14</f>
        <v>20</v>
      </c>
    </row>
    <row r="15" spans="2:5" ht="15.75" thickBot="1">
      <c r="B15" s="193" t="s">
        <v>219</v>
      </c>
      <c r="C15" s="154">
        <v>55</v>
      </c>
      <c r="D15" s="154">
        <v>44</v>
      </c>
      <c r="E15" s="46">
        <f>C15+D15</f>
        <v>99</v>
      </c>
    </row>
    <row r="16" spans="2:8" ht="15.75" thickTop="1">
      <c r="B16" s="47" t="s">
        <v>23</v>
      </c>
      <c r="C16" s="159">
        <f>C15+C14</f>
        <v>60</v>
      </c>
      <c r="D16" s="159">
        <f>D15+D14</f>
        <v>59</v>
      </c>
      <c r="E16" s="48">
        <f>E14+E15</f>
        <v>119</v>
      </c>
      <c r="H16" s="196" t="s">
        <v>191</v>
      </c>
    </row>
    <row r="17" spans="1:8" ht="15.75">
      <c r="A17" s="49" t="str">
        <f>IF(D28=0," ","WARNING: The expected number in one or more cells &lt; 5; CHI² test is INVALID")</f>
        <v> </v>
      </c>
      <c r="H17" s="195" t="s">
        <v>192</v>
      </c>
    </row>
    <row r="18" spans="1:8" ht="15.75">
      <c r="A18" s="49" t="str">
        <f>IF(E16&lt;20,"WARNING: The total sample size is less than 20; CHI² test is INVALID"," ")</f>
        <v> </v>
      </c>
      <c r="H18" s="195" t="s">
        <v>193</v>
      </c>
    </row>
    <row r="19" spans="1:8" ht="15.75">
      <c r="A19" s="49"/>
      <c r="D19" s="28" t="str">
        <f>CONCATENATE("Percent  ",B14," in ",C13," =")</f>
        <v>Percent  hyperplasia in control =</v>
      </c>
      <c r="E19" s="194">
        <f>C14/C16</f>
        <v>0.08333333333333333</v>
      </c>
      <c r="H19" s="195"/>
    </row>
    <row r="20" spans="1:8" ht="15.75">
      <c r="A20" s="49"/>
      <c r="D20" s="28" t="str">
        <f>CONCATENATE("Percent  ",B14," in ",D13," =")</f>
        <v>Percent  hyperplasia in 5 mg/mL =</v>
      </c>
      <c r="E20" s="194">
        <f>D14/D16</f>
        <v>0.2542372881355932</v>
      </c>
      <c r="H20" s="195" t="s">
        <v>194</v>
      </c>
    </row>
    <row r="21" spans="1:8" ht="15.75">
      <c r="A21" s="49"/>
      <c r="H21" s="195" t="s">
        <v>195</v>
      </c>
    </row>
    <row r="22" spans="1:8" ht="15.75" hidden="1">
      <c r="A22" s="49"/>
      <c r="H22" s="195"/>
    </row>
    <row r="23" spans="4:8" ht="15" hidden="1">
      <c r="D23" s="50" t="s">
        <v>52</v>
      </c>
      <c r="E23" s="50" t="s">
        <v>53</v>
      </c>
      <c r="H23" s="195"/>
    </row>
    <row r="24" spans="3:8" ht="15" hidden="1">
      <c r="C24" s="51" t="s">
        <v>54</v>
      </c>
      <c r="D24" s="52">
        <f>C14</f>
        <v>5</v>
      </c>
      <c r="E24" s="53">
        <f>(E14*C16)/E16</f>
        <v>10.084033613445378</v>
      </c>
      <c r="F24" s="54">
        <f>ABS(E24-D24)</f>
        <v>5.084033613445378</v>
      </c>
      <c r="H24" s="195"/>
    </row>
    <row r="25" spans="1:8" ht="15" hidden="1">
      <c r="A25" s="55" t="s">
        <v>55</v>
      </c>
      <c r="B25" s="55" t="s">
        <v>56</v>
      </c>
      <c r="C25" s="51" t="s">
        <v>57</v>
      </c>
      <c r="D25" s="42">
        <f>D14</f>
        <v>15</v>
      </c>
      <c r="E25" s="53">
        <f>(E14*D16)/E16</f>
        <v>9.915966386554622</v>
      </c>
      <c r="F25" s="54">
        <f>F24-TRUNC(F24)</f>
        <v>0.08403361344537785</v>
      </c>
      <c r="H25" s="195"/>
    </row>
    <row r="26" spans="1:8" ht="15" hidden="1">
      <c r="A26" s="55" t="s">
        <v>58</v>
      </c>
      <c r="B26" s="55" t="s">
        <v>59</v>
      </c>
      <c r="C26" s="51" t="s">
        <v>60</v>
      </c>
      <c r="D26" s="42">
        <f>C15</f>
        <v>55</v>
      </c>
      <c r="E26" s="53">
        <f>(E15*C16)/E16</f>
        <v>49.91596638655462</v>
      </c>
      <c r="F26" s="54">
        <f>IF(F25&lt;=0.5,TRUNC(F24),TRUNC(F24)+0.5)</f>
        <v>5</v>
      </c>
      <c r="H26" s="195"/>
    </row>
    <row r="27" spans="3:8" ht="15" hidden="1">
      <c r="C27" s="51" t="s">
        <v>61</v>
      </c>
      <c r="D27" s="42">
        <f>D15</f>
        <v>44</v>
      </c>
      <c r="E27" s="53">
        <f>(E15*D16)/E16</f>
        <v>49.08403361344538</v>
      </c>
      <c r="F27" s="56">
        <f>(1/E24+1/E25+1/E26+1/E27)</f>
        <v>0.24042101809050961</v>
      </c>
      <c r="H27" s="195"/>
    </row>
    <row r="28" spans="4:9" ht="12" customHeight="1">
      <c r="D28" s="57" t="b">
        <f>OR(E24&lt;5,E25&lt;5,E26&lt;5,E27&lt;5)</f>
        <v>0</v>
      </c>
      <c r="H28" s="195"/>
      <c r="I28" s="195" t="s">
        <v>196</v>
      </c>
    </row>
    <row r="29" spans="2:8" ht="15">
      <c r="B29" s="155"/>
      <c r="C29" s="155"/>
      <c r="D29" s="156" t="s">
        <v>62</v>
      </c>
      <c r="E29" s="50" t="s">
        <v>63</v>
      </c>
      <c r="H29" s="195" t="s">
        <v>197</v>
      </c>
    </row>
    <row r="30" spans="3:9" ht="15">
      <c r="C30" s="51" t="s">
        <v>64</v>
      </c>
      <c r="D30" s="58">
        <f>(F24^2)*F27</f>
        <v>6.214257689893283</v>
      </c>
      <c r="E30" s="59">
        <f>CHIDIST(D30,1)</f>
        <v>0.012672549000642743</v>
      </c>
      <c r="H30" s="195"/>
      <c r="I30" s="195" t="s">
        <v>198</v>
      </c>
    </row>
    <row r="31" spans="2:8" ht="15">
      <c r="B31" s="51" t="s">
        <v>65</v>
      </c>
      <c r="C31" s="51" t="s">
        <v>66</v>
      </c>
      <c r="D31" s="58">
        <f>F26^2*F27</f>
        <v>6.0105254522627405</v>
      </c>
      <c r="E31" s="59">
        <f>CHIDIST(D31,1)</f>
        <v>0.014220794042363927</v>
      </c>
      <c r="H31" s="195"/>
    </row>
    <row r="32" spans="2:8" ht="15">
      <c r="B32" s="156" t="s">
        <v>67</v>
      </c>
      <c r="C32" s="156" t="s">
        <v>66</v>
      </c>
      <c r="D32" s="157">
        <f>(F24-0.5)^2*F27</f>
        <v>5.0520544070649995</v>
      </c>
      <c r="E32" s="158">
        <f>CHIDIST(D32,1)/2</f>
        <v>0.012298380931453244</v>
      </c>
      <c r="H32" s="195"/>
    </row>
    <row r="34" spans="1:2" ht="15">
      <c r="A34" s="42" t="s">
        <v>68</v>
      </c>
      <c r="B34" s="42" t="s">
        <v>69</v>
      </c>
    </row>
    <row r="35" spans="2:5" ht="15">
      <c r="B35" s="42" t="s">
        <v>70</v>
      </c>
      <c r="D35" s="60"/>
      <c r="E35" s="61"/>
    </row>
    <row r="36" ht="15">
      <c r="E36" s="61"/>
    </row>
    <row r="37" ht="15">
      <c r="E37" s="61"/>
    </row>
    <row r="38" ht="15">
      <c r="E38" s="61"/>
    </row>
    <row r="39" ht="15">
      <c r="E39" s="61"/>
    </row>
    <row r="40" ht="15">
      <c r="E40" s="61"/>
    </row>
    <row r="41" ht="15">
      <c r="E41" s="61"/>
    </row>
  </sheetData>
  <sheetProtection sheet="1" objects="1" scenarios="1"/>
  <printOptions/>
  <pageMargins left="0.5" right="0.5" top="0.53" bottom="0.5" header="0.5" footer="0.5"/>
  <pageSetup horizontalDpi="300" verticalDpi="300" orientation="portrait" r:id="rId2"/>
  <headerFooter alignWithMargins="0">
    <oddFooter>&amp;CPrinted on  &amp;D &amp;T</oddFooter>
  </headerFooter>
  <legacyDrawing r:id="rId1"/>
</worksheet>
</file>

<file path=xl/worksheets/sheet6.xml><?xml version="1.0" encoding="utf-8"?>
<worksheet xmlns="http://schemas.openxmlformats.org/spreadsheetml/2006/main" xmlns:r="http://schemas.openxmlformats.org/officeDocument/2006/relationships">
  <sheetPr codeName="Sheet5"/>
  <dimension ref="A1:J43"/>
  <sheetViews>
    <sheetView showGridLines="0" zoomScale="90" zoomScaleNormal="90" workbookViewId="0" topLeftCell="A1">
      <selection activeCell="G31" sqref="G31"/>
    </sheetView>
  </sheetViews>
  <sheetFormatPr defaultColWidth="9.140625" defaultRowHeight="12.75"/>
  <cols>
    <col min="1" max="1" width="18.421875" style="199" customWidth="1"/>
    <col min="2" max="7" width="10.7109375" style="199" customWidth="1"/>
    <col min="8" max="8" width="8.57421875" style="199" customWidth="1"/>
    <col min="9" max="16384" width="9.140625" style="199" customWidth="1"/>
  </cols>
  <sheetData>
    <row r="1" spans="1:4" ht="15.75">
      <c r="A1" s="198" t="s">
        <v>71</v>
      </c>
      <c r="D1" s="199" t="s">
        <v>212</v>
      </c>
    </row>
    <row r="2" s="234" customFormat="1" ht="11.25">
      <c r="A2" s="236"/>
    </row>
    <row r="3" ht="15">
      <c r="A3" s="199" t="s">
        <v>210</v>
      </c>
    </row>
    <row r="4" ht="15">
      <c r="A4" s="199" t="s">
        <v>211</v>
      </c>
    </row>
    <row r="5" ht="15">
      <c r="A5" s="199" t="s">
        <v>45</v>
      </c>
    </row>
    <row r="6" ht="15">
      <c r="A6" s="199" t="s">
        <v>46</v>
      </c>
    </row>
    <row r="7" ht="15">
      <c r="A7" s="199" t="s">
        <v>47</v>
      </c>
    </row>
    <row r="8" s="234" customFormat="1" ht="11.25"/>
    <row r="9" spans="1:8" ht="15.75">
      <c r="A9" s="200" t="s">
        <v>72</v>
      </c>
      <c r="B9" s="201" t="s">
        <v>233</v>
      </c>
      <c r="C9" s="201"/>
      <c r="D9" s="201"/>
      <c r="E9" s="201"/>
      <c r="F9" s="201"/>
      <c r="G9" s="201"/>
      <c r="H9" s="201"/>
    </row>
    <row r="10" s="234" customFormat="1" ht="11.25"/>
    <row r="11" spans="1:8" ht="15.75" thickBot="1">
      <c r="A11" s="202"/>
      <c r="B11" s="197">
        <v>0</v>
      </c>
      <c r="C11" s="197">
        <v>1</v>
      </c>
      <c r="D11" s="197">
        <v>4</v>
      </c>
      <c r="E11" s="197">
        <v>16</v>
      </c>
      <c r="F11" s="197" t="s">
        <v>73</v>
      </c>
      <c r="G11" s="197" t="s">
        <v>74</v>
      </c>
      <c r="H11" s="203" t="s">
        <v>23</v>
      </c>
    </row>
    <row r="12" spans="1:8" ht="15.75" thickTop="1">
      <c r="A12" s="224" t="s">
        <v>232</v>
      </c>
      <c r="B12" s="204">
        <v>15</v>
      </c>
      <c r="C12" s="204">
        <v>13</v>
      </c>
      <c r="D12" s="204">
        <v>17</v>
      </c>
      <c r="E12" s="204">
        <v>25</v>
      </c>
      <c r="F12" s="204"/>
      <c r="G12" s="204"/>
      <c r="H12" s="205">
        <f>SUM(B12:G12)</f>
        <v>70</v>
      </c>
    </row>
    <row r="13" spans="1:8" ht="15.75" thickBot="1">
      <c r="A13" s="225" t="s">
        <v>219</v>
      </c>
      <c r="B13" s="206">
        <f>50-B12</f>
        <v>35</v>
      </c>
      <c r="C13" s="206">
        <f>50-C12</f>
        <v>37</v>
      </c>
      <c r="D13" s="206">
        <f>50-D12</f>
        <v>33</v>
      </c>
      <c r="E13" s="206">
        <f>50-E12</f>
        <v>25</v>
      </c>
      <c r="F13" s="206"/>
      <c r="G13" s="206"/>
      <c r="H13" s="207">
        <f>SUM(B13:G13)</f>
        <v>130</v>
      </c>
    </row>
    <row r="14" spans="1:8" ht="15.75" thickTop="1">
      <c r="A14" s="208" t="s">
        <v>23</v>
      </c>
      <c r="B14" s="209">
        <f aca="true" t="shared" si="0" ref="B14:G14">B12+B13</f>
        <v>50</v>
      </c>
      <c r="C14" s="209">
        <f t="shared" si="0"/>
        <v>50</v>
      </c>
      <c r="D14" s="209">
        <f t="shared" si="0"/>
        <v>50</v>
      </c>
      <c r="E14" s="209">
        <f t="shared" si="0"/>
        <v>50</v>
      </c>
      <c r="F14" s="209">
        <f t="shared" si="0"/>
        <v>0</v>
      </c>
      <c r="G14" s="209">
        <f t="shared" si="0"/>
        <v>0</v>
      </c>
      <c r="H14" s="209">
        <f>SUM(B12:G13)</f>
        <v>200</v>
      </c>
    </row>
    <row r="15" spans="1:8" s="234" customFormat="1" ht="11.25">
      <c r="A15" s="235"/>
      <c r="B15" s="235"/>
      <c r="C15" s="235"/>
      <c r="D15" s="235"/>
      <c r="E15" s="235"/>
      <c r="F15" s="235"/>
      <c r="G15" s="235"/>
      <c r="H15" s="235"/>
    </row>
    <row r="16" spans="1:6" ht="15.75">
      <c r="A16" s="198" t="s">
        <v>75</v>
      </c>
      <c r="B16" s="210"/>
      <c r="C16" s="210"/>
      <c r="D16" s="210"/>
      <c r="E16" s="210"/>
      <c r="F16" s="210"/>
    </row>
    <row r="17" spans="1:7" ht="15">
      <c r="A17" s="226" t="str">
        <f>$A$12</f>
        <v>lymphoma</v>
      </c>
      <c r="B17" s="212">
        <f aca="true" t="shared" si="1" ref="B17:G18">IF(B$14&lt;1,"---",B12/B$14)</f>
        <v>0.3</v>
      </c>
      <c r="C17" s="212">
        <f t="shared" si="1"/>
        <v>0.26</v>
      </c>
      <c r="D17" s="212">
        <f t="shared" si="1"/>
        <v>0.34</v>
      </c>
      <c r="E17" s="212">
        <f t="shared" si="1"/>
        <v>0.5</v>
      </c>
      <c r="F17" s="212" t="str">
        <f t="shared" si="1"/>
        <v>---</v>
      </c>
      <c r="G17" s="212" t="str">
        <f t="shared" si="1"/>
        <v>---</v>
      </c>
    </row>
    <row r="18" spans="1:7" ht="15">
      <c r="A18" s="226" t="str">
        <f>$A$13</f>
        <v>normal</v>
      </c>
      <c r="B18" s="212">
        <f t="shared" si="1"/>
        <v>0.7</v>
      </c>
      <c r="C18" s="212">
        <f t="shared" si="1"/>
        <v>0.74</v>
      </c>
      <c r="D18" s="212">
        <f t="shared" si="1"/>
        <v>0.66</v>
      </c>
      <c r="E18" s="212">
        <f t="shared" si="1"/>
        <v>0.5</v>
      </c>
      <c r="F18" s="212" t="str">
        <f t="shared" si="1"/>
        <v>---</v>
      </c>
      <c r="G18" s="212" t="str">
        <f t="shared" si="1"/>
        <v>---</v>
      </c>
    </row>
    <row r="19" spans="1:9" ht="15.75">
      <c r="A19" s="213" t="s">
        <v>76</v>
      </c>
      <c r="I19" s="227" t="s">
        <v>191</v>
      </c>
    </row>
    <row r="20" ht="15.75" hidden="1">
      <c r="A20" s="214" t="s">
        <v>77</v>
      </c>
    </row>
    <row r="21" spans="1:7" ht="15" hidden="1">
      <c r="A21" s="211" t="str">
        <f>$A$12</f>
        <v>lymphoma</v>
      </c>
      <c r="B21" s="215">
        <f aca="true" t="shared" si="2" ref="B21:G21">IF(B14&lt;1,"---",B14*$H12/$H$14)</f>
        <v>17.5</v>
      </c>
      <c r="C21" s="215">
        <f t="shared" si="2"/>
        <v>17.5</v>
      </c>
      <c r="D21" s="215">
        <f t="shared" si="2"/>
        <v>17.5</v>
      </c>
      <c r="E21" s="215">
        <f t="shared" si="2"/>
        <v>17.5</v>
      </c>
      <c r="F21" s="215" t="str">
        <f t="shared" si="2"/>
        <v>---</v>
      </c>
      <c r="G21" s="215" t="str">
        <f t="shared" si="2"/>
        <v>---</v>
      </c>
    </row>
    <row r="22" spans="1:7" ht="15" hidden="1">
      <c r="A22" s="211" t="str">
        <f>$A$13</f>
        <v>normal</v>
      </c>
      <c r="B22" s="215">
        <f aca="true" t="shared" si="3" ref="B22:G22">IF(B14&lt;1,"---",B14*$H13/$H$14)</f>
        <v>32.5</v>
      </c>
      <c r="C22" s="215">
        <f t="shared" si="3"/>
        <v>32.5</v>
      </c>
      <c r="D22" s="215">
        <f t="shared" si="3"/>
        <v>32.5</v>
      </c>
      <c r="E22" s="215">
        <f t="shared" si="3"/>
        <v>32.5</v>
      </c>
      <c r="F22" s="215" t="str">
        <f t="shared" si="3"/>
        <v>---</v>
      </c>
      <c r="G22" s="215" t="str">
        <f t="shared" si="3"/>
        <v>---</v>
      </c>
    </row>
    <row r="23" spans="1:7" ht="15" hidden="1">
      <c r="A23" s="211"/>
      <c r="B23" s="216"/>
      <c r="C23" s="216"/>
      <c r="D23" s="216"/>
      <c r="E23" s="216"/>
      <c r="F23" s="216"/>
      <c r="G23" s="216"/>
    </row>
    <row r="24" spans="1:5" ht="15.75" hidden="1">
      <c r="A24" s="198" t="s">
        <v>78</v>
      </c>
      <c r="C24" s="211"/>
      <c r="E24" s="216"/>
    </row>
    <row r="25" spans="1:7" ht="15" hidden="1">
      <c r="A25" s="211" t="str">
        <f>$A$12</f>
        <v>lymphoma</v>
      </c>
      <c r="B25" s="217">
        <f aca="true" t="shared" si="4" ref="B25:G25">IF(B14&lt;1,"---",(B21-B12)^2/B21)</f>
        <v>0.35714285714285715</v>
      </c>
      <c r="C25" s="217">
        <f t="shared" si="4"/>
        <v>1.1571428571428573</v>
      </c>
      <c r="D25" s="217">
        <f t="shared" si="4"/>
        <v>0.014285714285714285</v>
      </c>
      <c r="E25" s="217">
        <f t="shared" si="4"/>
        <v>3.2142857142857144</v>
      </c>
      <c r="F25" s="217" t="str">
        <f t="shared" si="4"/>
        <v>---</v>
      </c>
      <c r="G25" s="217" t="str">
        <f t="shared" si="4"/>
        <v>---</v>
      </c>
    </row>
    <row r="26" spans="1:7" ht="15" hidden="1">
      <c r="A26" s="211" t="str">
        <f>$A$13</f>
        <v>normal</v>
      </c>
      <c r="B26" s="217">
        <f aca="true" t="shared" si="5" ref="B26:G26">IF(B14&lt;1,"---",(B22-B13)^2/B22)</f>
        <v>0.19230769230769232</v>
      </c>
      <c r="C26" s="217">
        <f t="shared" si="5"/>
        <v>0.6230769230769231</v>
      </c>
      <c r="D26" s="217">
        <f t="shared" si="5"/>
        <v>0.007692307692307693</v>
      </c>
      <c r="E26" s="217">
        <f t="shared" si="5"/>
        <v>1.7307692307692308</v>
      </c>
      <c r="F26" s="217" t="str">
        <f t="shared" si="5"/>
        <v>---</v>
      </c>
      <c r="G26" s="217" t="str">
        <f t="shared" si="5"/>
        <v>---</v>
      </c>
    </row>
    <row r="27" spans="3:10" ht="15">
      <c r="C27" s="211" t="s">
        <v>79</v>
      </c>
      <c r="D27" s="219">
        <f>SUM(B25:G26)</f>
        <v>7.2967032967032965</v>
      </c>
      <c r="E27" s="216"/>
      <c r="F27" s="218"/>
      <c r="I27" s="211" t="s">
        <v>79</v>
      </c>
      <c r="J27" s="199">
        <v>6.666666666666666</v>
      </c>
    </row>
    <row r="28" spans="3:10" ht="15">
      <c r="C28" s="211" t="s">
        <v>80</v>
      </c>
      <c r="D28" s="220">
        <f>COUNT(B12:G12)-1</f>
        <v>3</v>
      </c>
      <c r="I28" s="211" t="s">
        <v>199</v>
      </c>
      <c r="J28" s="199">
        <v>3</v>
      </c>
    </row>
    <row r="29" spans="2:10" ht="15">
      <c r="B29" s="211"/>
      <c r="C29" s="211" t="s">
        <v>174</v>
      </c>
      <c r="D29" s="221">
        <f>CHIDIST(D27,D28)</f>
        <v>0.06301865909065145</v>
      </c>
      <c r="I29" s="211" t="s">
        <v>174</v>
      </c>
      <c r="J29" s="199">
        <v>0.08331630155337125</v>
      </c>
    </row>
    <row r="31" ht="15">
      <c r="E31" s="221"/>
    </row>
    <row r="32" ht="15">
      <c r="E32" s="221"/>
    </row>
    <row r="33" spans="2:5" ht="15">
      <c r="B33" s="211"/>
      <c r="C33" s="211"/>
      <c r="D33" s="219"/>
      <c r="E33" s="221"/>
    </row>
    <row r="34" spans="3:5" ht="15">
      <c r="C34" s="211"/>
      <c r="D34" s="219"/>
      <c r="E34" s="221"/>
    </row>
    <row r="37" spans="4:5" ht="15">
      <c r="D37" s="222"/>
      <c r="E37" s="223"/>
    </row>
    <row r="38" ht="15">
      <c r="E38" s="223"/>
    </row>
    <row r="39" ht="15">
      <c r="E39" s="223"/>
    </row>
    <row r="40" ht="15">
      <c r="E40" s="223"/>
    </row>
    <row r="41" ht="15">
      <c r="E41" s="223"/>
    </row>
    <row r="42" ht="15">
      <c r="E42" s="223"/>
    </row>
    <row r="43" ht="15">
      <c r="E43" s="223"/>
    </row>
  </sheetData>
  <sheetProtection sheet="1" objects="1" scenarios="1"/>
  <printOptions/>
  <pageMargins left="0.5" right="0.5" top="1" bottom="1" header="0.5" footer="0.5"/>
  <pageSetup horizontalDpi="300" verticalDpi="300" orientation="portrait" r:id="rId2"/>
  <headerFooter alignWithMargins="0">
    <oddFooter>&amp;CPrinted on &amp;T &amp;D</oddFooter>
  </headerFooter>
  <legacyDrawing r:id="rId1"/>
</worksheet>
</file>

<file path=xl/worksheets/sheet7.xml><?xml version="1.0" encoding="utf-8"?>
<worksheet xmlns="http://schemas.openxmlformats.org/spreadsheetml/2006/main" xmlns:r="http://schemas.openxmlformats.org/officeDocument/2006/relationships">
  <sheetPr codeName="Sheet7"/>
  <dimension ref="A1:M104"/>
  <sheetViews>
    <sheetView showGridLines="0" tabSelected="1" workbookViewId="0" topLeftCell="A1">
      <selection activeCell="E14" sqref="E14"/>
    </sheetView>
  </sheetViews>
  <sheetFormatPr defaultColWidth="9.140625" defaultRowHeight="12.75"/>
  <cols>
    <col min="1" max="1" width="10.00390625" style="103" customWidth="1"/>
    <col min="2" max="2" width="11.00390625" style="103" customWidth="1"/>
    <col min="3" max="3" width="2.8515625" style="103" customWidth="1"/>
    <col min="4" max="4" width="8.57421875" style="103" customWidth="1"/>
    <col min="5" max="5" width="11.140625" style="103" customWidth="1"/>
    <col min="6" max="6" width="10.7109375" style="103" customWidth="1"/>
    <col min="7" max="7" width="3.28125" style="103" customWidth="1"/>
    <col min="8" max="8" width="10.140625" style="103" customWidth="1"/>
    <col min="9" max="9" width="4.140625" style="103" customWidth="1"/>
    <col min="10" max="10" width="9.28125" style="103" customWidth="1"/>
    <col min="11" max="11" width="11.8515625" style="103" customWidth="1"/>
    <col min="12" max="12" width="6.57421875" style="103" customWidth="1"/>
    <col min="13" max="13" width="7.28125" style="103" customWidth="1"/>
    <col min="14" max="16384" width="9.140625" style="103" customWidth="1"/>
  </cols>
  <sheetData>
    <row r="1" spans="1:13" ht="15">
      <c r="A1" s="106" t="s">
        <v>144</v>
      </c>
      <c r="B1" s="107"/>
      <c r="C1" s="107"/>
      <c r="D1" s="107"/>
      <c r="E1" s="107"/>
      <c r="F1" s="107"/>
      <c r="G1" s="107"/>
      <c r="H1" s="107"/>
      <c r="I1" s="107"/>
      <c r="J1" s="107"/>
      <c r="K1" s="107"/>
      <c r="L1" s="107"/>
      <c r="M1" s="107"/>
    </row>
    <row r="2" spans="1:13" ht="13.5" customHeight="1" thickBot="1">
      <c r="A2" s="108" t="s">
        <v>82</v>
      </c>
      <c r="B2" s="162" t="s">
        <v>83</v>
      </c>
      <c r="C2" s="109"/>
      <c r="D2" s="107"/>
      <c r="E2" s="110" t="str">
        <f>A3</f>
        <v>enter name</v>
      </c>
      <c r="F2" s="110" t="str">
        <f>B3</f>
        <v>enter name</v>
      </c>
      <c r="G2" s="109"/>
      <c r="H2" s="111" t="s">
        <v>84</v>
      </c>
      <c r="I2" s="111"/>
      <c r="J2" s="111"/>
      <c r="K2" s="111"/>
      <c r="L2" s="112"/>
      <c r="M2" s="112"/>
    </row>
    <row r="3" spans="1:13" ht="13.5" customHeight="1" thickTop="1">
      <c r="A3" s="184" t="s">
        <v>223</v>
      </c>
      <c r="B3" s="185" t="s">
        <v>223</v>
      </c>
      <c r="C3" s="109"/>
      <c r="D3" s="113" t="s">
        <v>85</v>
      </c>
      <c r="E3" s="165">
        <f>AVERAGE(x_value)</f>
        <v>280.2</v>
      </c>
      <c r="F3" s="165">
        <f>AVERAGE(y_value)</f>
        <v>200</v>
      </c>
      <c r="G3" s="109"/>
      <c r="H3" s="114"/>
      <c r="I3" s="114" t="s">
        <v>86</v>
      </c>
      <c r="J3" s="114" t="s">
        <v>87</v>
      </c>
      <c r="K3" s="114" t="s">
        <v>88</v>
      </c>
      <c r="L3" s="115" t="s">
        <v>89</v>
      </c>
      <c r="M3" s="115" t="s">
        <v>90</v>
      </c>
    </row>
    <row r="4" spans="1:13" ht="13.5" customHeight="1">
      <c r="A4" s="238">
        <v>520</v>
      </c>
      <c r="B4" s="187">
        <v>0</v>
      </c>
      <c r="C4" s="109"/>
      <c r="D4" s="113" t="s">
        <v>1</v>
      </c>
      <c r="E4" s="165">
        <f>STDEV(x_value)</f>
        <v>189.4206958069788</v>
      </c>
      <c r="F4" s="165">
        <f>STDEV(y_value)</f>
        <v>158.11388300841898</v>
      </c>
      <c r="G4" s="109"/>
      <c r="H4" s="116" t="s">
        <v>91</v>
      </c>
      <c r="I4" s="117">
        <v>1</v>
      </c>
      <c r="J4" s="118">
        <f>(E8*$E$9)^2/E8</f>
        <v>99999.72129475311</v>
      </c>
      <c r="K4" s="118">
        <f>J4/I4</f>
        <v>99999.72129475311</v>
      </c>
      <c r="L4" s="168">
        <f>K4/K5</f>
        <v>1076403.0000498954</v>
      </c>
      <c r="M4" s="168">
        <f>FDIST(L4,I4,I5)</f>
        <v>1.9747264542420613E-09</v>
      </c>
    </row>
    <row r="5" spans="1:13" ht="13.5" customHeight="1">
      <c r="A5" s="238">
        <v>400</v>
      </c>
      <c r="B5" s="187">
        <v>100</v>
      </c>
      <c r="C5" s="109"/>
      <c r="D5" s="113" t="s">
        <v>92</v>
      </c>
      <c r="E5" s="165">
        <f>E4/SQRT(COUNT(x_value))</f>
        <v>84.71151043394279</v>
      </c>
      <c r="F5" s="165">
        <f>F4/SQRT(COUNT(y_value))</f>
        <v>70.71067811865476</v>
      </c>
      <c r="G5" s="109"/>
      <c r="H5" s="116" t="s">
        <v>93</v>
      </c>
      <c r="I5" s="117">
        <f>COUNT(x_value)-2</f>
        <v>3</v>
      </c>
      <c r="J5" s="118">
        <f>J6-J4</f>
        <v>0.2787052468920592</v>
      </c>
      <c r="K5" s="118">
        <f>J5/I5</f>
        <v>0.09290174896401975</v>
      </c>
      <c r="L5" s="118"/>
      <c r="M5" s="118"/>
    </row>
    <row r="6" spans="1:13" ht="13.5" customHeight="1">
      <c r="A6" s="238">
        <v>280</v>
      </c>
      <c r="B6" s="187">
        <v>200</v>
      </c>
      <c r="C6" s="109"/>
      <c r="D6" s="113" t="s">
        <v>94</v>
      </c>
      <c r="E6" s="165">
        <f>COUNT(x_value)</f>
        <v>5</v>
      </c>
      <c r="F6" s="165">
        <f>COUNT(y_value)</f>
        <v>5</v>
      </c>
      <c r="G6" s="109"/>
      <c r="H6" s="119" t="s">
        <v>23</v>
      </c>
      <c r="I6" s="114">
        <f>COUNT(x_value)-1</f>
        <v>4</v>
      </c>
      <c r="J6" s="120">
        <f>DEVSQ(y_value)</f>
        <v>100000</v>
      </c>
      <c r="K6" s="120">
        <f>J6/I6</f>
        <v>25000</v>
      </c>
      <c r="L6" s="120"/>
      <c r="M6" s="120"/>
    </row>
    <row r="7" spans="1:13" ht="13.5" customHeight="1">
      <c r="A7" s="186">
        <v>160</v>
      </c>
      <c r="B7" s="187">
        <v>300</v>
      </c>
      <c r="C7" s="109"/>
      <c r="D7" s="110" t="s">
        <v>95</v>
      </c>
      <c r="E7" s="166">
        <f>CONFIDENCE(0.05,E4,E6)</f>
        <v>166.03150952651688</v>
      </c>
      <c r="F7" s="166">
        <f>CONFIDENCE(0.05,F4,F6)</f>
        <v>138.59038243496778</v>
      </c>
      <c r="G7" s="109"/>
      <c r="H7" s="109"/>
      <c r="I7" s="109"/>
      <c r="J7" s="109"/>
      <c r="K7" s="109"/>
      <c r="L7" s="109"/>
      <c r="M7" s="109"/>
    </row>
    <row r="8" spans="1:13" ht="13.5" customHeight="1">
      <c r="A8" s="186">
        <v>41</v>
      </c>
      <c r="B8" s="187">
        <v>400</v>
      </c>
      <c r="C8" s="109"/>
      <c r="D8" s="113" t="s">
        <v>2</v>
      </c>
      <c r="E8" s="165">
        <f>DEVSQ(x_value)</f>
        <v>143520.8</v>
      </c>
      <c r="F8" s="124"/>
      <c r="G8" s="109"/>
      <c r="H8" s="109"/>
      <c r="I8" s="109"/>
      <c r="J8" s="109"/>
      <c r="K8" s="109"/>
      <c r="L8" s="109"/>
      <c r="M8" s="109"/>
    </row>
    <row r="9" spans="1:13" ht="13.5" customHeight="1">
      <c r="A9" s="186"/>
      <c r="B9" s="187"/>
      <c r="C9" s="109"/>
      <c r="D9" s="113" t="s">
        <v>96</v>
      </c>
      <c r="E9" s="167">
        <f>SLOPE(y_value,x_value)</f>
        <v>-0.8347222144804098</v>
      </c>
      <c r="F9" s="124"/>
      <c r="G9" s="109"/>
      <c r="H9" s="121"/>
      <c r="I9" s="109"/>
      <c r="J9" s="109"/>
      <c r="K9" s="109"/>
      <c r="L9" s="109"/>
      <c r="M9" s="109"/>
    </row>
    <row r="10" spans="1:13" ht="13.5" customHeight="1">
      <c r="A10" s="186"/>
      <c r="B10" s="187"/>
      <c r="C10" s="109"/>
      <c r="D10" s="113" t="s">
        <v>97</v>
      </c>
      <c r="E10" s="167">
        <f>INTERCEPT(y_value,x_value)</f>
        <v>433.88916449741083</v>
      </c>
      <c r="F10" s="124"/>
      <c r="G10" s="109"/>
      <c r="H10" s="121"/>
      <c r="I10" s="109"/>
      <c r="J10" s="109"/>
      <c r="K10" s="109"/>
      <c r="L10" s="109"/>
      <c r="M10" s="109"/>
    </row>
    <row r="11" spans="1:13" ht="13.5" customHeight="1">
      <c r="A11" s="186"/>
      <c r="B11" s="187"/>
      <c r="C11" s="109"/>
      <c r="D11" s="113" t="s">
        <v>100</v>
      </c>
      <c r="E11" s="122">
        <f>RSQ(y_value,x_value)</f>
        <v>0.9999972129475311</v>
      </c>
      <c r="F11" s="124"/>
      <c r="G11" s="109"/>
      <c r="H11" s="109"/>
      <c r="I11" s="109"/>
      <c r="J11" s="109"/>
      <c r="K11" s="109"/>
      <c r="L11" s="109"/>
      <c r="M11" s="109"/>
    </row>
    <row r="12" spans="1:13" ht="13.5" customHeight="1">
      <c r="A12" s="186"/>
      <c r="B12" s="187"/>
      <c r="C12" s="109"/>
      <c r="D12" s="110" t="s">
        <v>101</v>
      </c>
      <c r="E12" s="123">
        <f>E11^0.5</f>
        <v>0.9999986064727946</v>
      </c>
      <c r="F12" s="125"/>
      <c r="G12" s="109"/>
      <c r="H12" s="109"/>
      <c r="I12" s="109"/>
      <c r="J12" s="109"/>
      <c r="K12" s="109"/>
      <c r="L12" s="109"/>
      <c r="M12" s="109"/>
    </row>
    <row r="13" spans="1:13" ht="13.5" customHeight="1">
      <c r="A13" s="160"/>
      <c r="B13" s="163"/>
      <c r="C13" s="109"/>
      <c r="D13" s="113" t="s">
        <v>98</v>
      </c>
      <c r="E13" s="190">
        <v>372</v>
      </c>
      <c r="F13" s="124"/>
      <c r="G13" s="109"/>
      <c r="H13" s="109"/>
      <c r="I13" s="109"/>
      <c r="J13" s="109"/>
      <c r="K13" s="109"/>
      <c r="L13" s="109"/>
      <c r="M13" s="109"/>
    </row>
    <row r="14" spans="1:13" ht="13.5" customHeight="1">
      <c r="A14" s="160"/>
      <c r="B14" s="163"/>
      <c r="C14" s="109"/>
      <c r="D14" s="110" t="s">
        <v>99</v>
      </c>
      <c r="E14" s="123">
        <f>FORECAST(E13,y_value,x_value)</f>
        <v>123.37250071069838</v>
      </c>
      <c r="F14" s="125"/>
      <c r="G14" s="109"/>
      <c r="H14" s="109"/>
      <c r="I14" s="109"/>
      <c r="J14" s="109"/>
      <c r="K14" s="109"/>
      <c r="L14" s="109"/>
      <c r="M14" s="109"/>
    </row>
    <row r="15" spans="1:13" ht="13.5" customHeight="1">
      <c r="A15" s="160"/>
      <c r="B15" s="163"/>
      <c r="C15" s="109"/>
      <c r="D15" s="109"/>
      <c r="E15" s="109"/>
      <c r="F15" s="109"/>
      <c r="G15" s="109"/>
      <c r="H15" s="109"/>
      <c r="I15" s="109"/>
      <c r="J15" s="109"/>
      <c r="K15" s="109"/>
      <c r="L15" s="109"/>
      <c r="M15" s="109"/>
    </row>
    <row r="16" spans="1:13" ht="13.5" customHeight="1">
      <c r="A16" s="160"/>
      <c r="B16" s="163"/>
      <c r="C16" s="109"/>
      <c r="D16" s="109"/>
      <c r="E16" s="109"/>
      <c r="F16" s="109"/>
      <c r="G16" s="109"/>
      <c r="H16" s="109"/>
      <c r="I16" s="109"/>
      <c r="J16" s="109"/>
      <c r="K16" s="109"/>
      <c r="L16" s="109"/>
      <c r="M16" s="109"/>
    </row>
    <row r="17" spans="1:13" ht="13.5" customHeight="1">
      <c r="A17" s="160"/>
      <c r="B17" s="163"/>
      <c r="C17" s="109"/>
      <c r="D17" s="109"/>
      <c r="E17" s="109"/>
      <c r="F17" s="109"/>
      <c r="G17" s="109"/>
      <c r="H17" s="109"/>
      <c r="I17" s="109"/>
      <c r="J17" s="109"/>
      <c r="K17" s="109"/>
      <c r="L17" s="109"/>
      <c r="M17" s="109"/>
    </row>
    <row r="18" spans="1:13" ht="13.5" customHeight="1">
      <c r="A18" s="160"/>
      <c r="B18" s="163"/>
      <c r="C18" s="109"/>
      <c r="D18" s="109"/>
      <c r="E18" s="109"/>
      <c r="F18" s="109"/>
      <c r="G18" s="109"/>
      <c r="H18" s="109"/>
      <c r="I18" s="109"/>
      <c r="J18" s="109"/>
      <c r="K18" s="109"/>
      <c r="L18" s="109"/>
      <c r="M18" s="109"/>
    </row>
    <row r="19" spans="1:13" ht="13.5" customHeight="1">
      <c r="A19" s="160"/>
      <c r="B19" s="163"/>
      <c r="C19" s="109"/>
      <c r="D19" s="109"/>
      <c r="E19" s="109"/>
      <c r="F19" s="109"/>
      <c r="G19" s="109"/>
      <c r="H19" s="109"/>
      <c r="I19" s="109"/>
      <c r="J19" s="109"/>
      <c r="K19" s="109"/>
      <c r="L19" s="109"/>
      <c r="M19" s="109"/>
    </row>
    <row r="20" spans="1:13" ht="13.5" customHeight="1">
      <c r="A20" s="160"/>
      <c r="B20" s="163"/>
      <c r="C20" s="109"/>
      <c r="D20" s="109"/>
      <c r="E20" s="109"/>
      <c r="F20" s="109"/>
      <c r="G20" s="109"/>
      <c r="H20" s="109"/>
      <c r="I20" s="109"/>
      <c r="J20" s="109"/>
      <c r="K20" s="109"/>
      <c r="L20" s="109"/>
      <c r="M20" s="109"/>
    </row>
    <row r="21" spans="1:13" ht="13.5" customHeight="1">
      <c r="A21" s="160"/>
      <c r="B21" s="163"/>
      <c r="C21" s="109"/>
      <c r="D21" s="109"/>
      <c r="E21" s="109"/>
      <c r="F21" s="109"/>
      <c r="G21" s="109"/>
      <c r="H21" s="109"/>
      <c r="I21" s="109"/>
      <c r="J21" s="109"/>
      <c r="K21" s="109"/>
      <c r="L21" s="109"/>
      <c r="M21" s="109"/>
    </row>
    <row r="22" spans="1:13" ht="13.5" customHeight="1">
      <c r="A22" s="160"/>
      <c r="B22" s="163"/>
      <c r="C22" s="109"/>
      <c r="D22" s="233" t="s">
        <v>209</v>
      </c>
      <c r="E22" s="233"/>
      <c r="F22" s="109"/>
      <c r="G22" s="109"/>
      <c r="H22" s="109"/>
      <c r="I22" s="109"/>
      <c r="J22" s="109"/>
      <c r="K22" s="109"/>
      <c r="L22" s="109"/>
      <c r="M22" s="109"/>
    </row>
    <row r="23" spans="1:2" ht="13.5" customHeight="1">
      <c r="A23" s="161"/>
      <c r="B23" s="164"/>
    </row>
    <row r="24" spans="1:2" ht="14.25">
      <c r="A24" s="161"/>
      <c r="B24" s="164"/>
    </row>
    <row r="25" spans="1:2" ht="14.25">
      <c r="A25" s="161"/>
      <c r="B25" s="164"/>
    </row>
    <row r="26" spans="1:2" ht="14.25">
      <c r="A26" s="161"/>
      <c r="B26" s="164"/>
    </row>
    <row r="27" spans="1:8" ht="14.25">
      <c r="A27" s="161"/>
      <c r="B27" s="164"/>
      <c r="D27" s="126"/>
      <c r="E27" s="126"/>
      <c r="F27" s="126"/>
      <c r="G27" s="126"/>
      <c r="H27" s="126"/>
    </row>
    <row r="28" spans="1:8" ht="14.25">
      <c r="A28" s="161"/>
      <c r="B28" s="164"/>
      <c r="D28" s="104" t="s">
        <v>147</v>
      </c>
      <c r="E28" s="104"/>
      <c r="F28" s="104"/>
      <c r="G28" s="104"/>
      <c r="H28" s="104"/>
    </row>
    <row r="29" spans="1:13" ht="16.5">
      <c r="A29" s="161"/>
      <c r="B29" s="164"/>
      <c r="D29" s="105"/>
      <c r="E29" s="105" t="s">
        <v>145</v>
      </c>
      <c r="F29" s="105" t="s">
        <v>146</v>
      </c>
      <c r="G29" s="105"/>
      <c r="H29" s="105" t="s">
        <v>84</v>
      </c>
      <c r="I29" s="105"/>
      <c r="J29" s="105"/>
      <c r="K29" s="105"/>
      <c r="L29" s="105"/>
      <c r="M29" s="105"/>
    </row>
    <row r="30" spans="1:13" ht="16.5">
      <c r="A30" s="161"/>
      <c r="B30" s="164"/>
      <c r="D30" s="105" t="s">
        <v>85</v>
      </c>
      <c r="E30" s="105">
        <v>60.06666666666667</v>
      </c>
      <c r="F30" s="105">
        <v>118.86666666666666</v>
      </c>
      <c r="G30" s="105"/>
      <c r="H30" s="105"/>
      <c r="I30" s="105" t="s">
        <v>86</v>
      </c>
      <c r="J30" s="105" t="s">
        <v>87</v>
      </c>
      <c r="K30" s="105" t="s">
        <v>88</v>
      </c>
      <c r="L30" s="105" t="s">
        <v>89</v>
      </c>
      <c r="M30" s="105" t="s">
        <v>90</v>
      </c>
    </row>
    <row r="31" spans="1:13" ht="16.5">
      <c r="A31" s="161"/>
      <c r="B31" s="164"/>
      <c r="D31" s="105" t="s">
        <v>1</v>
      </c>
      <c r="E31" s="105">
        <v>9.801360449787914</v>
      </c>
      <c r="F31" s="105">
        <v>21.31018088904479</v>
      </c>
      <c r="G31" s="105"/>
      <c r="H31" s="105" t="s">
        <v>91</v>
      </c>
      <c r="I31" s="105">
        <v>1</v>
      </c>
      <c r="J31" s="105">
        <v>1522.858097881762</v>
      </c>
      <c r="K31" s="105">
        <v>1522.858097881762</v>
      </c>
      <c r="L31" s="105">
        <v>4.094656905994365</v>
      </c>
      <c r="M31" s="105">
        <v>0.06407851450208732</v>
      </c>
    </row>
    <row r="32" spans="1:13" ht="16.5">
      <c r="A32" s="161"/>
      <c r="B32" s="164"/>
      <c r="D32" s="105" t="s">
        <v>92</v>
      </c>
      <c r="E32" s="105">
        <v>2.5307003861469752</v>
      </c>
      <c r="F32" s="105">
        <v>5.5022650458625355</v>
      </c>
      <c r="G32" s="105"/>
      <c r="H32" s="105" t="s">
        <v>93</v>
      </c>
      <c r="I32" s="105">
        <v>13</v>
      </c>
      <c r="J32" s="105">
        <v>4834.87523545157</v>
      </c>
      <c r="K32" s="105">
        <v>371.9134796501208</v>
      </c>
      <c r="L32" s="105"/>
      <c r="M32" s="105"/>
    </row>
    <row r="33" spans="1:13" ht="16.5">
      <c r="A33" s="161"/>
      <c r="B33" s="164"/>
      <c r="D33" s="105" t="s">
        <v>94</v>
      </c>
      <c r="E33" s="105">
        <v>15</v>
      </c>
      <c r="F33" s="105">
        <v>15</v>
      </c>
      <c r="G33" s="105"/>
      <c r="H33" s="105" t="s">
        <v>23</v>
      </c>
      <c r="I33" s="105">
        <v>14</v>
      </c>
      <c r="J33" s="105">
        <v>6357.733333333332</v>
      </c>
      <c r="K33" s="105">
        <v>454.1238095238094</v>
      </c>
      <c r="L33" s="105"/>
      <c r="M33" s="105"/>
    </row>
    <row r="34" spans="1:13" ht="16.5">
      <c r="A34" s="161"/>
      <c r="B34" s="164"/>
      <c r="D34" s="105" t="s">
        <v>95</v>
      </c>
      <c r="E34" s="105">
        <v>4.9600742678619385</v>
      </c>
      <c r="F34" s="105">
        <v>10.784225354503873</v>
      </c>
      <c r="G34" s="105"/>
      <c r="H34" s="105"/>
      <c r="I34" s="105"/>
      <c r="J34" s="105"/>
      <c r="K34" s="105"/>
      <c r="L34" s="105"/>
      <c r="M34" s="105"/>
    </row>
    <row r="35" spans="1:13" ht="16.5">
      <c r="A35" s="161"/>
      <c r="B35" s="164"/>
      <c r="D35" s="105" t="s">
        <v>2</v>
      </c>
      <c r="E35" s="105">
        <v>1344.9333333333332</v>
      </c>
      <c r="F35" s="105"/>
      <c r="G35" s="105"/>
      <c r="H35" s="105"/>
      <c r="I35" s="105"/>
      <c r="J35" s="105"/>
      <c r="K35" s="105"/>
      <c r="L35" s="105"/>
      <c r="M35" s="105"/>
    </row>
    <row r="36" spans="1:13" ht="16.5">
      <c r="A36" s="161"/>
      <c r="B36" s="164"/>
      <c r="D36" s="105" t="s">
        <v>96</v>
      </c>
      <c r="E36" s="105">
        <v>1.064092396153465</v>
      </c>
      <c r="F36" s="105"/>
      <c r="G36" s="105"/>
      <c r="H36" s="105"/>
      <c r="I36" s="105"/>
      <c r="J36" s="105"/>
      <c r="K36" s="105"/>
      <c r="L36" s="105"/>
      <c r="M36" s="105"/>
    </row>
    <row r="37" spans="1:13" ht="16.5">
      <c r="A37" s="161"/>
      <c r="B37" s="164"/>
      <c r="D37" s="105" t="s">
        <v>97</v>
      </c>
      <c r="E37" s="105">
        <v>54.95018340438186</v>
      </c>
      <c r="F37" s="105"/>
      <c r="G37" s="105"/>
      <c r="H37" s="105"/>
      <c r="I37" s="105"/>
      <c r="J37" s="105"/>
      <c r="K37" s="105"/>
      <c r="L37" s="105"/>
      <c r="M37" s="105"/>
    </row>
    <row r="38" spans="1:13" ht="16.5">
      <c r="A38" s="161"/>
      <c r="B38" s="164"/>
      <c r="D38" s="105" t="s">
        <v>100</v>
      </c>
      <c r="E38" s="105">
        <v>0.23952846368964228</v>
      </c>
      <c r="F38" s="105"/>
      <c r="G38" s="105"/>
      <c r="H38" s="105"/>
      <c r="I38" s="105"/>
      <c r="J38" s="105"/>
      <c r="K38" s="105"/>
      <c r="L38" s="105"/>
      <c r="M38" s="105"/>
    </row>
    <row r="39" spans="1:13" ht="16.5">
      <c r="A39" s="161"/>
      <c r="B39" s="164"/>
      <c r="D39" s="105" t="s">
        <v>101</v>
      </c>
      <c r="E39" s="105">
        <v>0.48941645220572866</v>
      </c>
      <c r="F39" s="105"/>
      <c r="G39" s="105"/>
      <c r="H39" s="105"/>
      <c r="I39" s="105"/>
      <c r="J39" s="105"/>
      <c r="K39" s="105"/>
      <c r="L39" s="105"/>
      <c r="M39" s="105"/>
    </row>
    <row r="40" spans="1:2" ht="14.25">
      <c r="A40" s="161"/>
      <c r="B40" s="164"/>
    </row>
    <row r="41" spans="1:2" ht="14.25">
      <c r="A41" s="161"/>
      <c r="B41" s="164"/>
    </row>
    <row r="42" spans="1:2" ht="14.25">
      <c r="A42" s="161"/>
      <c r="B42" s="164"/>
    </row>
    <row r="43" spans="1:2" ht="14.25">
      <c r="A43" s="161"/>
      <c r="B43" s="164"/>
    </row>
    <row r="44" spans="1:2" ht="14.25">
      <c r="A44" s="161"/>
      <c r="B44" s="164"/>
    </row>
    <row r="45" spans="1:2" ht="14.25">
      <c r="A45" s="161"/>
      <c r="B45" s="164"/>
    </row>
    <row r="46" spans="1:2" ht="14.25">
      <c r="A46" s="161"/>
      <c r="B46" s="164"/>
    </row>
    <row r="47" spans="1:2" ht="14.25">
      <c r="A47" s="161"/>
      <c r="B47" s="164"/>
    </row>
    <row r="48" spans="1:2" ht="14.25">
      <c r="A48" s="161"/>
      <c r="B48" s="164"/>
    </row>
    <row r="49" spans="1:2" ht="14.25">
      <c r="A49" s="161"/>
      <c r="B49" s="164"/>
    </row>
    <row r="50" spans="1:2" ht="14.25">
      <c r="A50" s="161"/>
      <c r="B50" s="164"/>
    </row>
    <row r="51" spans="1:2" ht="14.25">
      <c r="A51" s="161"/>
      <c r="B51" s="164"/>
    </row>
    <row r="52" spans="1:2" ht="14.25">
      <c r="A52" s="161"/>
      <c r="B52" s="164"/>
    </row>
    <row r="53" spans="1:2" ht="14.25">
      <c r="A53" s="161"/>
      <c r="B53" s="164"/>
    </row>
    <row r="54" spans="1:2" ht="14.25">
      <c r="A54" s="161"/>
      <c r="B54" s="164"/>
    </row>
    <row r="55" spans="1:2" ht="14.25">
      <c r="A55" s="161"/>
      <c r="B55" s="164"/>
    </row>
    <row r="56" spans="1:2" ht="14.25">
      <c r="A56" s="161"/>
      <c r="B56" s="164"/>
    </row>
    <row r="57" spans="1:2" ht="14.25">
      <c r="A57" s="161"/>
      <c r="B57" s="164"/>
    </row>
    <row r="58" spans="1:2" ht="14.25">
      <c r="A58" s="161"/>
      <c r="B58" s="164"/>
    </row>
    <row r="59" spans="1:2" ht="14.25">
      <c r="A59" s="161"/>
      <c r="B59" s="164"/>
    </row>
    <row r="60" spans="1:2" ht="14.25">
      <c r="A60" s="161"/>
      <c r="B60" s="164"/>
    </row>
    <row r="61" spans="1:2" ht="14.25">
      <c r="A61" s="161"/>
      <c r="B61" s="164"/>
    </row>
    <row r="62" spans="1:2" ht="14.25">
      <c r="A62" s="161"/>
      <c r="B62" s="164"/>
    </row>
    <row r="63" spans="1:2" ht="14.25">
      <c r="A63" s="161"/>
      <c r="B63" s="164"/>
    </row>
    <row r="64" spans="1:2" ht="14.25">
      <c r="A64" s="161"/>
      <c r="B64" s="164"/>
    </row>
    <row r="65" spans="1:2" ht="14.25">
      <c r="A65" s="161"/>
      <c r="B65" s="164"/>
    </row>
    <row r="66" spans="1:2" ht="14.25">
      <c r="A66" s="161"/>
      <c r="B66" s="164"/>
    </row>
    <row r="67" spans="1:2" ht="14.25">
      <c r="A67" s="161"/>
      <c r="B67" s="164"/>
    </row>
    <row r="68" spans="1:2" ht="14.25">
      <c r="A68" s="161"/>
      <c r="B68" s="164"/>
    </row>
    <row r="69" spans="1:2" ht="14.25">
      <c r="A69" s="161"/>
      <c r="B69" s="164"/>
    </row>
    <row r="70" spans="1:2" ht="14.25">
      <c r="A70" s="161"/>
      <c r="B70" s="164"/>
    </row>
    <row r="71" spans="1:2" ht="14.25">
      <c r="A71" s="161"/>
      <c r="B71" s="164"/>
    </row>
    <row r="72" spans="1:2" ht="14.25">
      <c r="A72" s="161"/>
      <c r="B72" s="164"/>
    </row>
    <row r="73" spans="1:2" ht="14.25">
      <c r="A73" s="161"/>
      <c r="B73" s="164"/>
    </row>
    <row r="74" spans="1:2" ht="14.25">
      <c r="A74" s="161"/>
      <c r="B74" s="164"/>
    </row>
    <row r="75" spans="1:2" ht="14.25">
      <c r="A75" s="161"/>
      <c r="B75" s="164"/>
    </row>
    <row r="76" spans="1:2" ht="14.25">
      <c r="A76" s="161"/>
      <c r="B76" s="164"/>
    </row>
    <row r="77" spans="1:2" ht="14.25">
      <c r="A77" s="161"/>
      <c r="B77" s="164"/>
    </row>
    <row r="78" spans="1:2" ht="14.25">
      <c r="A78" s="161"/>
      <c r="B78" s="164"/>
    </row>
    <row r="79" spans="1:2" ht="14.25">
      <c r="A79" s="161"/>
      <c r="B79" s="164"/>
    </row>
    <row r="80" spans="1:2" ht="14.25">
      <c r="A80" s="161"/>
      <c r="B80" s="164"/>
    </row>
    <row r="81" spans="1:2" ht="14.25">
      <c r="A81" s="161"/>
      <c r="B81" s="164"/>
    </row>
    <row r="82" spans="1:2" ht="14.25">
      <c r="A82" s="161"/>
      <c r="B82" s="164"/>
    </row>
    <row r="83" spans="1:2" ht="14.25">
      <c r="A83" s="161"/>
      <c r="B83" s="164"/>
    </row>
    <row r="84" spans="1:2" ht="14.25">
      <c r="A84" s="161"/>
      <c r="B84" s="164"/>
    </row>
    <row r="85" spans="1:2" ht="14.25">
      <c r="A85" s="161"/>
      <c r="B85" s="164"/>
    </row>
    <row r="86" spans="1:2" ht="14.25">
      <c r="A86" s="161"/>
      <c r="B86" s="164"/>
    </row>
    <row r="87" spans="1:2" ht="14.25">
      <c r="A87" s="161"/>
      <c r="B87" s="164"/>
    </row>
    <row r="88" spans="1:2" ht="14.25">
      <c r="A88" s="161"/>
      <c r="B88" s="164"/>
    </row>
    <row r="89" spans="1:2" ht="14.25">
      <c r="A89" s="161"/>
      <c r="B89" s="164"/>
    </row>
    <row r="90" spans="1:2" ht="14.25">
      <c r="A90" s="161"/>
      <c r="B90" s="164"/>
    </row>
    <row r="91" spans="1:2" ht="14.25">
      <c r="A91" s="161"/>
      <c r="B91" s="164"/>
    </row>
    <row r="92" spans="1:2" ht="14.25">
      <c r="A92" s="161"/>
      <c r="B92" s="164"/>
    </row>
    <row r="93" spans="1:2" ht="14.25">
      <c r="A93" s="161"/>
      <c r="B93" s="164"/>
    </row>
    <row r="94" spans="1:2" ht="14.25">
      <c r="A94" s="161"/>
      <c r="B94" s="164"/>
    </row>
    <row r="95" spans="1:2" ht="14.25">
      <c r="A95" s="161"/>
      <c r="B95" s="164"/>
    </row>
    <row r="96" spans="1:2" ht="14.25">
      <c r="A96" s="161"/>
      <c r="B96" s="164"/>
    </row>
    <row r="97" spans="1:2" ht="14.25">
      <c r="A97" s="161"/>
      <c r="B97" s="164"/>
    </row>
    <row r="98" spans="1:2" ht="14.25">
      <c r="A98" s="161"/>
      <c r="B98" s="164"/>
    </row>
    <row r="99" spans="1:2" ht="14.25">
      <c r="A99" s="161"/>
      <c r="B99" s="164"/>
    </row>
    <row r="100" spans="1:2" ht="14.25">
      <c r="A100" s="161"/>
      <c r="B100" s="164"/>
    </row>
    <row r="101" spans="1:2" ht="14.25">
      <c r="A101" s="161"/>
      <c r="B101" s="164"/>
    </row>
    <row r="102" spans="1:2" ht="14.25">
      <c r="A102" s="161"/>
      <c r="B102" s="164"/>
    </row>
    <row r="103" spans="1:2" ht="15" thickBot="1">
      <c r="A103" s="188"/>
      <c r="B103" s="189"/>
    </row>
    <row r="104" ht="15" thickTop="1">
      <c r="A104" s="103" t="s">
        <v>158</v>
      </c>
    </row>
  </sheetData>
  <sheetProtection sheet="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6"/>
  <dimension ref="A1:AR105"/>
  <sheetViews>
    <sheetView showGridLines="0" workbookViewId="0" topLeftCell="F1">
      <selection activeCell="U6" sqref="U6"/>
    </sheetView>
  </sheetViews>
  <sheetFormatPr defaultColWidth="9.140625" defaultRowHeight="12.75"/>
  <cols>
    <col min="9" max="9" width="2.28125" style="0" customWidth="1"/>
    <col min="10" max="10" width="11.140625" style="0" customWidth="1"/>
    <col min="11" max="11" width="2.00390625" style="0" customWidth="1"/>
    <col min="14" max="14" width="6.28125" style="0" customWidth="1"/>
  </cols>
  <sheetData>
    <row r="1" spans="1:5" ht="12.75">
      <c r="A1" s="169" t="s">
        <v>159</v>
      </c>
      <c r="E1" t="s">
        <v>203</v>
      </c>
    </row>
    <row r="2" ht="12.75">
      <c r="A2" t="s">
        <v>204</v>
      </c>
    </row>
    <row r="3" spans="12:18" ht="13.5" thickBot="1">
      <c r="L3" s="174" t="str">
        <f>B4</f>
        <v>Heart Rate Day 2 Predose</v>
      </c>
      <c r="M3" s="174"/>
      <c r="N3" s="174"/>
      <c r="O3" s="174"/>
      <c r="P3" s="174"/>
      <c r="Q3" s="174"/>
      <c r="R3" s="174"/>
    </row>
    <row r="4" spans="1:44" ht="14.25" thickBot="1" thickTop="1">
      <c r="A4" s="173" t="s">
        <v>22</v>
      </c>
      <c r="B4" s="230" t="s">
        <v>224</v>
      </c>
      <c r="C4" s="230"/>
      <c r="D4" s="230"/>
      <c r="E4" s="230"/>
      <c r="F4" s="230"/>
      <c r="G4" s="230"/>
      <c r="H4" s="230"/>
      <c r="L4" s="171" t="s">
        <v>164</v>
      </c>
      <c r="M4" s="171" t="s">
        <v>103</v>
      </c>
      <c r="N4" s="171" t="s">
        <v>94</v>
      </c>
      <c r="O4" s="171" t="s">
        <v>165</v>
      </c>
      <c r="P4" s="171" t="s">
        <v>1</v>
      </c>
      <c r="Q4" s="171" t="s">
        <v>92</v>
      </c>
      <c r="R4" s="178" t="s">
        <v>172</v>
      </c>
      <c r="AB4" t="s">
        <v>184</v>
      </c>
      <c r="AL4" s="171" t="s">
        <v>164</v>
      </c>
      <c r="AM4" s="171" t="s">
        <v>103</v>
      </c>
      <c r="AN4" s="171" t="s">
        <v>94</v>
      </c>
      <c r="AO4" s="171" t="s">
        <v>165</v>
      </c>
      <c r="AP4" s="171" t="s">
        <v>1</v>
      </c>
      <c r="AQ4" s="171" t="s">
        <v>92</v>
      </c>
      <c r="AR4" s="178" t="s">
        <v>172</v>
      </c>
    </row>
    <row r="5" spans="1:44" ht="13.5" thickTop="1">
      <c r="A5" s="231" t="s">
        <v>225</v>
      </c>
      <c r="B5" s="231" t="s">
        <v>226</v>
      </c>
      <c r="C5" s="231" t="s">
        <v>227</v>
      </c>
      <c r="D5" s="231" t="s">
        <v>228</v>
      </c>
      <c r="E5" s="231" t="s">
        <v>76</v>
      </c>
      <c r="F5" s="231" t="s">
        <v>76</v>
      </c>
      <c r="G5" s="231" t="s">
        <v>76</v>
      </c>
      <c r="H5" s="231" t="s">
        <v>76</v>
      </c>
      <c r="I5" s="177"/>
      <c r="L5" s="228" t="str">
        <f>A5</f>
        <v>0 mg/kg</v>
      </c>
      <c r="M5">
        <f>IF(COUNT(A$6:A$105)&lt;1," ",AVERAGE(A$6:A$105))</f>
        <v>104.16666666666667</v>
      </c>
      <c r="N5">
        <f>IF(COUNT(A$6:A$105)&lt;1," ",COUNT(A$6:A$105))</f>
        <v>6</v>
      </c>
      <c r="O5">
        <f>IF(COUNT(A$6:A$105)&lt;2," ",VAR(A$6:A$105))</f>
        <v>200.56666666666715</v>
      </c>
      <c r="P5">
        <f>IF(COUNT(A$6:A$105)&lt;2," ",STDEV(A$6:A$105))</f>
        <v>14.162156144693052</v>
      </c>
      <c r="Q5">
        <f>IF(COUNT(A$6:A$105)&lt;2," ",STDEV(A$6:A$105)/(COUNT(A$6:A$105)^0.5))</f>
        <v>5.7816760353532315</v>
      </c>
      <c r="R5">
        <f>IF(COUNT(A6:A105)&lt;1," ",O5*(N5-1))</f>
        <v>1002.8333333333358</v>
      </c>
      <c r="AB5" s="176" t="s">
        <v>176</v>
      </c>
      <c r="AC5" s="176" t="s">
        <v>177</v>
      </c>
      <c r="AD5" s="176" t="s">
        <v>178</v>
      </c>
      <c r="AE5" s="176" t="s">
        <v>179</v>
      </c>
      <c r="AF5" s="176" t="s">
        <v>180</v>
      </c>
      <c r="AG5" s="176" t="s">
        <v>181</v>
      </c>
      <c r="AH5" s="176" t="s">
        <v>182</v>
      </c>
      <c r="AI5" s="176" t="s">
        <v>183</v>
      </c>
      <c r="AL5" s="170" t="str">
        <f>AB5</f>
        <v>group 1</v>
      </c>
      <c r="AM5">
        <f>IF(COUNT(AB$6:AB$105)&lt;1," ",AVERAGE(AB$6:AB$105))</f>
        <v>10.888888888888891</v>
      </c>
      <c r="AN5">
        <f>IF(COUNT(AB$6:AB$105)&lt;1," ",COUNT(AB$6:AB$105))</f>
        <v>6</v>
      </c>
      <c r="AO5">
        <f>IF(COUNT(AB$6:AB$105)&lt;2," ",VAR(AB$6:AB$105))</f>
        <v>58.28518518518517</v>
      </c>
      <c r="AP5">
        <f>IF(COUNT(AB$6:AB$105)&lt;2," ",STDEV(AB$6:AB$105))</f>
        <v>7.634473471378702</v>
      </c>
      <c r="AQ5">
        <f>IF(COUNT(AB$6:AB$105)&lt;2," ",STDEV(AB$6:AB$105)/(COUNT(AB$6:AB$105)^0.5))</f>
        <v>3.1167607432820694</v>
      </c>
      <c r="AR5">
        <f>IF(COUNT(AB6:AB105)&lt;1," ",AO5*(AN5-1))</f>
        <v>291.42592592592587</v>
      </c>
    </row>
    <row r="6" spans="1:44" ht="12.75">
      <c r="A6" s="186">
        <v>86</v>
      </c>
      <c r="B6" s="187">
        <v>117</v>
      </c>
      <c r="C6" s="187">
        <v>94</v>
      </c>
      <c r="D6" s="232">
        <v>115</v>
      </c>
      <c r="E6" s="186"/>
      <c r="F6" s="232"/>
      <c r="G6" s="186"/>
      <c r="H6" s="232"/>
      <c r="L6" s="228" t="str">
        <f>B5</f>
        <v>0.04 mg/kg</v>
      </c>
      <c r="M6">
        <f>IF(COUNT(B$6:B$105)&lt;1," ",AVERAGE(B$6:B$105))</f>
        <v>105.16666666666667</v>
      </c>
      <c r="N6">
        <f>IF(COUNT(B$6:B$105)&lt;1," ",COUNT(B$6:B$105))</f>
        <v>6</v>
      </c>
      <c r="O6">
        <f>IF(COUNT(B$6:B$105)&lt;2," ",VAR(B$6:B$105))</f>
        <v>446.1666666666657</v>
      </c>
      <c r="P6">
        <f>IF(COUNT(B$6:B$105)&lt;2," ",STDEV(B$6:B$105))</f>
        <v>21.122657661067787</v>
      </c>
      <c r="Q6">
        <f>IF(COUNT(B$6:B$105)&lt;2," ",STDEV(B$6:B$105)/(COUNT(B$6:B$105)^0.5))</f>
        <v>8.623288880184344</v>
      </c>
      <c r="R6">
        <f>IF(COUNT(B6:B105)&lt;1," ",O6*(N6-1))</f>
        <v>2230.8333333333285</v>
      </c>
      <c r="AB6" s="179">
        <f>IF(ISBLANK(A6)=TRUE," ",ABS(A6-AVERAGE(A$6:A$105)))</f>
        <v>18.16666666666667</v>
      </c>
      <c r="AC6" s="179">
        <f aca="true" t="shared" si="0" ref="AC6:AI21">IF(ISBLANK(B6)=TRUE," ",ABS(B6-AVERAGE(B$6:B$105)))</f>
        <v>11.833333333333329</v>
      </c>
      <c r="AD6" s="179">
        <f t="shared" si="0"/>
        <v>13.5</v>
      </c>
      <c r="AE6" s="179">
        <f t="shared" si="0"/>
        <v>13.333333333333329</v>
      </c>
      <c r="AF6" s="179" t="str">
        <f t="shared" si="0"/>
        <v> </v>
      </c>
      <c r="AG6" s="179" t="str">
        <f t="shared" si="0"/>
        <v> </v>
      </c>
      <c r="AH6" s="179" t="str">
        <f t="shared" si="0"/>
        <v> </v>
      </c>
      <c r="AI6" s="179" t="str">
        <f t="shared" si="0"/>
        <v> </v>
      </c>
      <c r="AL6" s="170" t="str">
        <f>AC5</f>
        <v>group 2</v>
      </c>
      <c r="AM6">
        <f>IF(COUNT(AC$6:AC$105)&lt;1," ",AVERAGE(AC$6:AC$105))</f>
        <v>16.833333333333332</v>
      </c>
      <c r="AN6">
        <f>IF(COUNT(AC$6:AC$105)&lt;1," ",COUNT(AC$6:AC$105))</f>
        <v>6</v>
      </c>
      <c r="AO6">
        <f>IF(COUNT(AC$6:AC$105)&lt;2," ",VAR(AC$6:AC$105))</f>
        <v>106.13333333333325</v>
      </c>
      <c r="AP6">
        <f>IF(COUNT(AC$6:AC$105)&lt;2," ",STDEV(AC$6:AC$105))</f>
        <v>10.30210334511032</v>
      </c>
      <c r="AQ6">
        <f>IF(COUNT(AC$6:AC$105)&lt;2," ",STDEV(AC$6:AC$105)/(COUNT(AC$6:AC$105)^0.5))</f>
        <v>4.205816078823333</v>
      </c>
      <c r="AR6">
        <f>IF(COUNT(AC6:AC105)&lt;1," ",AO6*(AN6-1))</f>
        <v>530.6666666666663</v>
      </c>
    </row>
    <row r="7" spans="1:44" ht="12.75">
      <c r="A7" s="186">
        <v>101</v>
      </c>
      <c r="B7" s="187">
        <v>110</v>
      </c>
      <c r="C7" s="187">
        <v>111</v>
      </c>
      <c r="D7" s="232">
        <v>102</v>
      </c>
      <c r="E7" s="186"/>
      <c r="F7" s="232"/>
      <c r="G7" s="186"/>
      <c r="H7" s="232"/>
      <c r="L7" s="228" t="str">
        <f>C5</f>
        <v>0.12 mg/kg</v>
      </c>
      <c r="M7">
        <f>IF(COUNT(C$6:C$105)&lt;1," ",AVERAGE(C$6:C$105))</f>
        <v>107.5</v>
      </c>
      <c r="N7">
        <f>IF(COUNT(C$6:C$105)&lt;1," ",COUNT(C$6:C$105))</f>
        <v>6</v>
      </c>
      <c r="O7">
        <f>IF(COUNT(C$6:C$105)&lt;2," ",VAR(C$6:C$105))</f>
        <v>363.5</v>
      </c>
      <c r="P7">
        <f>IF(COUNT(C$6:C$105)&lt;2," ",STDEV(C$6:C$105))</f>
        <v>19.06567596493762</v>
      </c>
      <c r="Q7">
        <f>IF(COUNT(C$6:C$105)&lt;2," ",STDEV(C$6:C$105)/(COUNT(C$6:C$105)^0.5))</f>
        <v>7.783529619223746</v>
      </c>
      <c r="R7">
        <f>IF(COUNT(C6:C105)&lt;1," ",O7*(N7-1))</f>
        <v>1817.5</v>
      </c>
      <c r="AB7" s="179">
        <f>IF(ISBLANK(A7)=TRUE," ",ABS(A7-AVERAGE(A$6:A$105)))</f>
        <v>3.1666666666666714</v>
      </c>
      <c r="AC7" s="179">
        <f t="shared" si="0"/>
        <v>4.833333333333329</v>
      </c>
      <c r="AD7" s="179">
        <f t="shared" si="0"/>
        <v>3.5</v>
      </c>
      <c r="AE7" s="179">
        <f t="shared" si="0"/>
        <v>0.3333333333333286</v>
      </c>
      <c r="AF7" s="179" t="str">
        <f t="shared" si="0"/>
        <v> </v>
      </c>
      <c r="AG7" s="179" t="str">
        <f t="shared" si="0"/>
        <v> </v>
      </c>
      <c r="AH7" s="179" t="str">
        <f t="shared" si="0"/>
        <v> </v>
      </c>
      <c r="AI7" s="179" t="str">
        <f t="shared" si="0"/>
        <v> </v>
      </c>
      <c r="AL7" s="170" t="str">
        <f>AD5</f>
        <v>group 3</v>
      </c>
      <c r="AM7">
        <f>IF(COUNT(AD$6:AD$105)&lt;1," ",AVERAGE(AD$6:AD$105))</f>
        <v>14.333333333333334</v>
      </c>
      <c r="AN7">
        <f>IF(COUNT(AD$6:AD$105)&lt;1," ",COUNT(AD$6:AD$105))</f>
        <v>6</v>
      </c>
      <c r="AO7">
        <f>IF(COUNT(AD$6:AD$105)&lt;2," ",VAR(AD$6:AD$105))</f>
        <v>116.96666666666665</v>
      </c>
      <c r="AP7">
        <f>IF(COUNT(AD$6:AD$105)&lt;2," ",STDEV(AD$6:AD$105))</f>
        <v>10.815112882751926</v>
      </c>
      <c r="AQ7">
        <f>IF(COUNT(AD$6:AD$105)&lt;2," ",STDEV(AD$6:AD$105)/(COUNT(AD$6:AD$105)^0.5))</f>
        <v>4.415251345557175</v>
      </c>
      <c r="AR7">
        <f>IF(COUNT(AD6:AD105)&lt;1," ",AO7*(AN7-1))</f>
        <v>584.8333333333333</v>
      </c>
    </row>
    <row r="8" spans="1:44" ht="12.75">
      <c r="A8" s="186">
        <v>117</v>
      </c>
      <c r="B8" s="187">
        <v>82</v>
      </c>
      <c r="C8" s="187">
        <v>116</v>
      </c>
      <c r="D8" s="232">
        <v>100</v>
      </c>
      <c r="E8" s="186"/>
      <c r="F8" s="232"/>
      <c r="G8" s="186"/>
      <c r="H8" s="232"/>
      <c r="L8" s="228" t="str">
        <f>D5</f>
        <v>0.57 mg/kg</v>
      </c>
      <c r="M8">
        <f>IF(COUNT(D$6:D$105)&lt;1," ",AVERAGE(D$6:D$105))</f>
        <v>101.66666666666667</v>
      </c>
      <c r="N8">
        <f>IF(COUNT(D$6:D$105)&lt;1," ",COUNT(D$6:D$105))</f>
        <v>6</v>
      </c>
      <c r="O8">
        <f>IF(COUNT(D$6:D$105)&lt;2," ",VAR(D$6:D$105))</f>
        <v>49.06666666666715</v>
      </c>
      <c r="P8">
        <f>IF(COUNT(D$6:D$105)&lt;2," ",STDEV(D$6:D$105))</f>
        <v>7.00476028616734</v>
      </c>
      <c r="Q8">
        <f>IF(COUNT(D$6:D$105)&lt;2," ",STDEV(D$6:D$105)/(COUNT(D$6:D$105)^0.5))</f>
        <v>2.8596814119369767</v>
      </c>
      <c r="R8">
        <f>IF(COUNT(D6:D105)&lt;1," ",O8*(N8-1))</f>
        <v>245.33333333333576</v>
      </c>
      <c r="AB8" s="179">
        <f aca="true" t="shared" si="1" ref="AB8:AB71">IF(ISBLANK(A8)=TRUE," ",ABS(A8-AVERAGE(A$6:A$105)))</f>
        <v>12.833333333333329</v>
      </c>
      <c r="AC8" s="179">
        <f t="shared" si="0"/>
        <v>23.16666666666667</v>
      </c>
      <c r="AD8" s="179">
        <f t="shared" si="0"/>
        <v>8.5</v>
      </c>
      <c r="AE8" s="179">
        <f t="shared" si="0"/>
        <v>1.6666666666666714</v>
      </c>
      <c r="AF8" s="179" t="str">
        <f t="shared" si="0"/>
        <v> </v>
      </c>
      <c r="AG8" s="179" t="str">
        <f t="shared" si="0"/>
        <v> </v>
      </c>
      <c r="AH8" s="179" t="str">
        <f t="shared" si="0"/>
        <v> </v>
      </c>
      <c r="AI8" s="179" t="str">
        <f t="shared" si="0"/>
        <v> </v>
      </c>
      <c r="AK8" s="180"/>
      <c r="AL8" s="170" t="str">
        <f>AE5</f>
        <v>group 4</v>
      </c>
      <c r="AM8">
        <f>IF(COUNT(AE$6:AE$105)&lt;1," ",AVERAGE(AE$6:AE$105))</f>
        <v>4.555555555555557</v>
      </c>
      <c r="AN8">
        <f>IF(COUNT(AE$6:AE$105)&lt;1," ",COUNT(AE$6:AE$105))</f>
        <v>6</v>
      </c>
      <c r="AO8">
        <f>IF(COUNT(AE$6:AE$105)&lt;2," ",VAR(AE$6:AE$105))</f>
        <v>24.162962962962954</v>
      </c>
      <c r="AP8">
        <f>IF(COUNT(AE$6:AE$105)&lt;2," ",STDEV(AE$6:AE$105))</f>
        <v>4.915583684870287</v>
      </c>
      <c r="AQ8">
        <f>IF(COUNT(AE$6:AE$105)&lt;2," ",STDEV(AE$6:AE$105)/(COUNT(AE$6:AE$105)^0.5))</f>
        <v>2.006778635980351</v>
      </c>
      <c r="AR8">
        <f>IF(COUNT(AE6:AE105)&lt;1," ",AO8*(AN8-1))</f>
        <v>120.81481481481477</v>
      </c>
    </row>
    <row r="9" spans="1:44" ht="12.75">
      <c r="A9" s="186">
        <v>103</v>
      </c>
      <c r="B9" s="187">
        <v>94</v>
      </c>
      <c r="C9" s="187">
        <v>133</v>
      </c>
      <c r="D9" s="232">
        <v>96</v>
      </c>
      <c r="E9" s="186"/>
      <c r="F9" s="232"/>
      <c r="G9" s="186"/>
      <c r="H9" s="232"/>
      <c r="L9" s="228" t="str">
        <f>E5</f>
        <v> </v>
      </c>
      <c r="M9" t="str">
        <f>IF(COUNT(E$6:E$105)&lt;1," ",AVERAGE(E$6:E$105))</f>
        <v> </v>
      </c>
      <c r="N9" t="str">
        <f>IF(COUNT(E$6:E$105)&lt;1," ",COUNT(E$6:E$105))</f>
        <v> </v>
      </c>
      <c r="O9" t="str">
        <f>IF(COUNT(E$6:E$105)&lt;2," ",VAR(E$6:E$105))</f>
        <v> </v>
      </c>
      <c r="P9" t="str">
        <f>IF(COUNT(E$6:E$105)&lt;2," ",STDEV(E$6:E$105))</f>
        <v> </v>
      </c>
      <c r="Q9" t="str">
        <f>IF(COUNT(E$6:E$105)&lt;2," ",STDEV(E$6:E$105)/(COUNT(E$6:E$105)^0.5))</f>
        <v> </v>
      </c>
      <c r="R9" t="str">
        <f>IF(COUNT(E6:E105)&lt;1," ",O9*(N9-1))</f>
        <v> </v>
      </c>
      <c r="S9" t="str">
        <f>IF(COUNT(F$6:F$105)&lt;1," ",COUNT(F$6:F$105))</f>
        <v> </v>
      </c>
      <c r="T9" t="str">
        <f>IF(COUNT(G$6:G$105)&lt;1," ",COUNT(G$6:G$105))</f>
        <v> </v>
      </c>
      <c r="AB9" s="179">
        <f t="shared" si="1"/>
        <v>1.1666666666666714</v>
      </c>
      <c r="AC9" s="179">
        <f t="shared" si="0"/>
        <v>11.166666666666671</v>
      </c>
      <c r="AD9" s="179">
        <f t="shared" si="0"/>
        <v>25.5</v>
      </c>
      <c r="AE9" s="179">
        <f t="shared" si="0"/>
        <v>5.666666666666671</v>
      </c>
      <c r="AF9" s="179" t="str">
        <f t="shared" si="0"/>
        <v> </v>
      </c>
      <c r="AG9" s="179" t="str">
        <f t="shared" si="0"/>
        <v> </v>
      </c>
      <c r="AH9" s="179" t="str">
        <f t="shared" si="0"/>
        <v> </v>
      </c>
      <c r="AI9" s="179" t="str">
        <f t="shared" si="0"/>
        <v> </v>
      </c>
      <c r="AK9" s="181"/>
      <c r="AL9" s="170" t="str">
        <f>AF5</f>
        <v>group 5</v>
      </c>
      <c r="AM9" t="str">
        <f>IF(COUNT(AF$6:AF$105)&lt;1," ",AVERAGE(AF$6:AF$105))</f>
        <v> </v>
      </c>
      <c r="AN9" t="str">
        <f>IF(COUNT(AF$6:AF$105)&lt;1," ",COUNT(AF$6:AF$105))</f>
        <v> </v>
      </c>
      <c r="AO9" t="str">
        <f>IF(COUNT(AF$6:AF$105)&lt;2," ",VAR(AF$6:AF$105))</f>
        <v> </v>
      </c>
      <c r="AP9" t="str">
        <f>IF(COUNT(AF$6:AF$105)&lt;2," ",STDEV(AF$6:AF$105))</f>
        <v> </v>
      </c>
      <c r="AQ9" t="str">
        <f>IF(COUNT(AF$6:AF$105)&lt;2," ",STDEV(AF$6:AF$105)/(COUNT(AF$6:AF$105)^0.5))</f>
        <v> </v>
      </c>
      <c r="AR9" t="str">
        <f>IF(COUNT(AF6:AF105)&lt;1," ",AO9*(AN9-1))</f>
        <v> </v>
      </c>
    </row>
    <row r="10" spans="1:44" ht="12.75">
      <c r="A10" s="186">
        <v>124</v>
      </c>
      <c r="B10" s="187">
        <v>89</v>
      </c>
      <c r="C10" s="187">
        <v>78</v>
      </c>
      <c r="D10" s="232">
        <v>101</v>
      </c>
      <c r="E10" s="186"/>
      <c r="F10" s="232"/>
      <c r="G10" s="186"/>
      <c r="H10" s="232"/>
      <c r="L10" s="228" t="str">
        <f>F5</f>
        <v> </v>
      </c>
      <c r="M10" t="str">
        <f>IF(COUNT(F$6:F$105)&lt;1," ",AVERAGE(F$6:F$105))</f>
        <v> </v>
      </c>
      <c r="N10" t="str">
        <f>IF(COUNT(F$6:F$105)&lt;1," ",COUNT(F$6:F$105))</f>
        <v> </v>
      </c>
      <c r="O10" t="str">
        <f>IF(COUNT(F$6:F$105)&lt;2," ",VAR(F$6:F$105))</f>
        <v> </v>
      </c>
      <c r="P10" t="str">
        <f>IF(COUNT(F$6:F$105)&lt;2," ",STDEV(F$6:F$105))</f>
        <v> </v>
      </c>
      <c r="Q10" t="str">
        <f>IF(COUNT(F$6:F$105)&lt;2," ",STDEV(F$6:F$105)/(COUNT(F$6:F$105)^0.5))</f>
        <v> </v>
      </c>
      <c r="R10" t="str">
        <f>IF(COUNT(F6:F105)&lt;1," ",O10*(N10-1))</f>
        <v> </v>
      </c>
      <c r="AB10" s="179">
        <f t="shared" si="1"/>
        <v>19.83333333333333</v>
      </c>
      <c r="AC10" s="179">
        <f t="shared" si="0"/>
        <v>16.16666666666667</v>
      </c>
      <c r="AD10" s="179">
        <f t="shared" si="0"/>
        <v>29.5</v>
      </c>
      <c r="AE10" s="179">
        <f t="shared" si="0"/>
        <v>0.6666666666666714</v>
      </c>
      <c r="AF10" s="179" t="str">
        <f t="shared" si="0"/>
        <v> </v>
      </c>
      <c r="AG10" s="179" t="str">
        <f t="shared" si="0"/>
        <v> </v>
      </c>
      <c r="AH10" s="179" t="str">
        <f t="shared" si="0"/>
        <v> </v>
      </c>
      <c r="AI10" s="179" t="str">
        <f t="shared" si="0"/>
        <v> </v>
      </c>
      <c r="AL10" s="170" t="str">
        <f>AG5</f>
        <v>group 6</v>
      </c>
      <c r="AM10" t="str">
        <f>IF(COUNT(AG$6:AG$105)&lt;1," ",AVERAGE(AG$6:AG$105))</f>
        <v> </v>
      </c>
      <c r="AN10" t="str">
        <f>IF(COUNT(AG$6:AG$105)&lt;1," ",COUNT(AG$6:AG$105))</f>
        <v> </v>
      </c>
      <c r="AO10" t="str">
        <f>IF(COUNT(AG$6:AG$105)&lt;2," ",VAR(AG$6:AG$105))</f>
        <v> </v>
      </c>
      <c r="AP10" t="str">
        <f>IF(COUNT(AG$6:AG$105)&lt;2," ",STDEV(AG$6:AG$105))</f>
        <v> </v>
      </c>
      <c r="AQ10" t="str">
        <f>IF(COUNT(AG$6:AG$105)&lt;2," ",STDEV(AG$6:AG$105)/(COUNT(AG$6:AG$105)^0.5))</f>
        <v> </v>
      </c>
      <c r="AR10" t="str">
        <f>IF(COUNT(AG6:AG105)&lt;1," ",AO10*(AN10-1))</f>
        <v> </v>
      </c>
    </row>
    <row r="11" spans="1:44" ht="12.75">
      <c r="A11" s="186">
        <v>94</v>
      </c>
      <c r="B11" s="187">
        <v>139</v>
      </c>
      <c r="C11" s="187">
        <v>113</v>
      </c>
      <c r="D11" s="232">
        <v>96</v>
      </c>
      <c r="E11" s="186"/>
      <c r="F11" s="232"/>
      <c r="G11" s="186"/>
      <c r="H11" s="232"/>
      <c r="L11" s="228" t="str">
        <f>G5</f>
        <v> </v>
      </c>
      <c r="M11" t="str">
        <f>IF(COUNT(G$6:G$105)&lt;1," ",AVERAGE(G$6:G$105))</f>
        <v> </v>
      </c>
      <c r="N11" t="str">
        <f>IF(COUNT(G$6:G$105)&lt;1," ",COUNT(G$6:G$105))</f>
        <v> </v>
      </c>
      <c r="O11" t="str">
        <f>IF(COUNT(G$6:G$105)&lt;2," ",VAR(G$6:G$105))</f>
        <v> </v>
      </c>
      <c r="P11" t="str">
        <f>IF(COUNT(G$6:G$105)&lt;2," ",STDEV(G$6:G$105))</f>
        <v> </v>
      </c>
      <c r="Q11" t="str">
        <f>IF(COUNT(G$6:G$105)&lt;2," ",STDEV(G$6:G$105)/(COUNT(G$6:G$105)^0.5))</f>
        <v> </v>
      </c>
      <c r="R11" t="str">
        <f>IF(COUNT(G6:G105)&lt;1," ",O11*(N11-1))</f>
        <v> </v>
      </c>
      <c r="AB11" s="179">
        <f t="shared" si="1"/>
        <v>10.166666666666671</v>
      </c>
      <c r="AC11" s="179">
        <f t="shared" si="0"/>
        <v>33.83333333333333</v>
      </c>
      <c r="AD11" s="179">
        <f t="shared" si="0"/>
        <v>5.5</v>
      </c>
      <c r="AE11" s="179">
        <f t="shared" si="0"/>
        <v>5.666666666666671</v>
      </c>
      <c r="AF11" s="179" t="str">
        <f t="shared" si="0"/>
        <v> </v>
      </c>
      <c r="AG11" s="179" t="str">
        <f t="shared" si="0"/>
        <v> </v>
      </c>
      <c r="AH11" s="179" t="str">
        <f t="shared" si="0"/>
        <v> </v>
      </c>
      <c r="AI11" s="179" t="str">
        <f t="shared" si="0"/>
        <v> </v>
      </c>
      <c r="AL11" s="170" t="str">
        <f>AH5</f>
        <v>group 7</v>
      </c>
      <c r="AM11" t="str">
        <f>IF(COUNT(AH$6:AH$105)&lt;1," ",AVERAGE(AH$6:AH$105))</f>
        <v> </v>
      </c>
      <c r="AN11" t="str">
        <f>IF(COUNT(AH$6:AH$105)&lt;1," ",COUNT(AH$6:AH$105))</f>
        <v> </v>
      </c>
      <c r="AO11" t="str">
        <f>IF(COUNT(AH$6:AH$105)&lt;2," ",VAR(AH$6:AH$105))</f>
        <v> </v>
      </c>
      <c r="AP11" t="str">
        <f>IF(COUNT(AH$6:AH$105)&lt;2," ",STDEV(AH$6:AH$105))</f>
        <v> </v>
      </c>
      <c r="AQ11" t="str">
        <f>IF(COUNT(AH$6:AH$105)&lt;2," ",STDEV(AH$6:AH$105)/(COUNT(AH$6:AH$105)^0.5))</f>
        <v> </v>
      </c>
      <c r="AR11" t="str">
        <f>IF(COUNT(AH6:AH105)&lt;1," ",AO11*(AN11-1))</f>
        <v> </v>
      </c>
    </row>
    <row r="12" spans="1:44" ht="12.75">
      <c r="A12" s="186"/>
      <c r="B12" s="187"/>
      <c r="C12" s="187"/>
      <c r="D12" s="232"/>
      <c r="E12" s="186"/>
      <c r="F12" s="232"/>
      <c r="G12" s="186"/>
      <c r="H12" s="232"/>
      <c r="L12" s="229" t="str">
        <f>H5</f>
        <v> </v>
      </c>
      <c r="M12" s="172" t="str">
        <f>IF(COUNT(H$6:H$105)&lt;1," ",AVERAGE(H$6:H$105))</f>
        <v> </v>
      </c>
      <c r="N12" s="172" t="str">
        <f>IF(COUNT(H$6:H$105)&lt;1," ",COUNT(H$6:H$105))</f>
        <v> </v>
      </c>
      <c r="O12" s="172" t="str">
        <f>IF(COUNT(H$6:H$105)&lt;2," ",VAR(H$6:H$105))</f>
        <v> </v>
      </c>
      <c r="P12" s="172" t="str">
        <f>IF(COUNT(H$6:H$105)&lt;2," ",STDEV(H$6:H$105))</f>
        <v> </v>
      </c>
      <c r="Q12" s="172" t="str">
        <f>IF(COUNT(H$6:H$105)&lt;2," ",STDEV(H$6:H$105)/(COUNT(H$6:H$105)^0.5))</f>
        <v> </v>
      </c>
      <c r="R12" s="172" t="str">
        <f>IF(COUNT(H6:H105)&lt;1," ",O12*(N12-1))</f>
        <v> </v>
      </c>
      <c r="AB12" s="179" t="str">
        <f t="shared" si="1"/>
        <v> </v>
      </c>
      <c r="AC12" s="179" t="str">
        <f t="shared" si="0"/>
        <v> </v>
      </c>
      <c r="AD12" s="179" t="str">
        <f t="shared" si="0"/>
        <v> </v>
      </c>
      <c r="AE12" s="179" t="str">
        <f t="shared" si="0"/>
        <v> </v>
      </c>
      <c r="AF12" s="179" t="str">
        <f t="shared" si="0"/>
        <v> </v>
      </c>
      <c r="AG12" s="179" t="str">
        <f t="shared" si="0"/>
        <v> </v>
      </c>
      <c r="AH12" s="179" t="str">
        <f t="shared" si="0"/>
        <v> </v>
      </c>
      <c r="AI12" s="179" t="str">
        <f t="shared" si="0"/>
        <v> </v>
      </c>
      <c r="AL12" s="171" t="str">
        <f>AI5</f>
        <v>group 8</v>
      </c>
      <c r="AM12" s="172" t="str">
        <f>IF(COUNT(AI$6:AI$105)&lt;1," ",AVERAGE(AI$6:AI$105))</f>
        <v> </v>
      </c>
      <c r="AN12" s="172" t="str">
        <f>IF(COUNT(AI$6:AI$105)&lt;1," ",COUNT(AI$6:AI$105))</f>
        <v> </v>
      </c>
      <c r="AO12" s="172" t="str">
        <f>IF(COUNT(AI$6:AI$105)&lt;2," ",VAR(AI$6:AI$105))</f>
        <v> </v>
      </c>
      <c r="AP12" s="172" t="str">
        <f>IF(COUNT(AI$6:AI$105)&lt;2," ",STDEV(AI$6:AI$105))</f>
        <v> </v>
      </c>
      <c r="AQ12" s="172" t="str">
        <f>IF(COUNT(AI$6:AI$105)&lt;2," ",STDEV(AI$6:AI$105)/(COUNT(AI$6:AI$105)^0.5))</f>
        <v> </v>
      </c>
      <c r="AR12" s="172" t="str">
        <f>IF(COUNT(AI6:AI105)&lt;1," ",AO12*(AN12-1))</f>
        <v> </v>
      </c>
    </row>
    <row r="13" spans="1:35" ht="12.75">
      <c r="A13" s="186"/>
      <c r="B13" s="187"/>
      <c r="C13" s="187"/>
      <c r="D13" s="232"/>
      <c r="E13" s="186"/>
      <c r="F13" s="232"/>
      <c r="G13" s="186"/>
      <c r="H13" s="232"/>
      <c r="AB13" s="179" t="str">
        <f t="shared" si="1"/>
        <v> </v>
      </c>
      <c r="AC13" s="179" t="str">
        <f t="shared" si="0"/>
        <v> </v>
      </c>
      <c r="AD13" s="179" t="str">
        <f t="shared" si="0"/>
        <v> </v>
      </c>
      <c r="AE13" s="179" t="str">
        <f t="shared" si="0"/>
        <v> </v>
      </c>
      <c r="AF13" s="179" t="str">
        <f t="shared" si="0"/>
        <v> </v>
      </c>
      <c r="AG13" s="179" t="str">
        <f t="shared" si="0"/>
        <v> </v>
      </c>
      <c r="AH13" s="179" t="str">
        <f t="shared" si="0"/>
        <v> </v>
      </c>
      <c r="AI13" s="179" t="str">
        <f t="shared" si="0"/>
        <v> </v>
      </c>
    </row>
    <row r="14" spans="1:38" ht="13.5" thickBot="1">
      <c r="A14" s="186"/>
      <c r="B14" s="187"/>
      <c r="C14" s="187"/>
      <c r="D14" s="232"/>
      <c r="E14" s="186"/>
      <c r="F14" s="232"/>
      <c r="G14" s="186"/>
      <c r="H14" s="232"/>
      <c r="L14" s="174" t="s">
        <v>166</v>
      </c>
      <c r="M14" s="174"/>
      <c r="N14" s="174"/>
      <c r="O14" s="174"/>
      <c r="P14" s="174"/>
      <c r="Q14" s="174"/>
      <c r="R14" s="174"/>
      <c r="AB14" s="179" t="str">
        <f t="shared" si="1"/>
        <v> </v>
      </c>
      <c r="AC14" s="179" t="str">
        <f t="shared" si="0"/>
        <v> </v>
      </c>
      <c r="AD14" s="179" t="str">
        <f t="shared" si="0"/>
        <v> </v>
      </c>
      <c r="AE14" s="179" t="str">
        <f t="shared" si="0"/>
        <v> </v>
      </c>
      <c r="AF14" s="179" t="str">
        <f t="shared" si="0"/>
        <v> </v>
      </c>
      <c r="AG14" s="179" t="str">
        <f t="shared" si="0"/>
        <v> </v>
      </c>
      <c r="AH14" s="179" t="str">
        <f t="shared" si="0"/>
        <v> </v>
      </c>
      <c r="AI14" s="179" t="str">
        <f t="shared" si="0"/>
        <v> </v>
      </c>
      <c r="AL14" t="s">
        <v>166</v>
      </c>
    </row>
    <row r="15" spans="1:44" ht="13.5" thickTop="1">
      <c r="A15" s="186"/>
      <c r="B15" s="187"/>
      <c r="C15" s="187"/>
      <c r="D15" s="232"/>
      <c r="E15" s="186"/>
      <c r="F15" s="232"/>
      <c r="G15" s="186"/>
      <c r="H15" s="232"/>
      <c r="L15" s="172"/>
      <c r="M15" s="171" t="s">
        <v>168</v>
      </c>
      <c r="N15" s="171" t="s">
        <v>86</v>
      </c>
      <c r="O15" s="172"/>
      <c r="P15" s="183" t="s">
        <v>172</v>
      </c>
      <c r="Q15" s="172"/>
      <c r="R15" s="171" t="s">
        <v>171</v>
      </c>
      <c r="AB15" s="179" t="str">
        <f t="shared" si="1"/>
        <v> </v>
      </c>
      <c r="AC15" s="179" t="str">
        <f t="shared" si="0"/>
        <v> </v>
      </c>
      <c r="AD15" s="179" t="str">
        <f t="shared" si="0"/>
        <v> </v>
      </c>
      <c r="AE15" s="179" t="str">
        <f t="shared" si="0"/>
        <v> </v>
      </c>
      <c r="AF15" s="179" t="str">
        <f t="shared" si="0"/>
        <v> </v>
      </c>
      <c r="AG15" s="179" t="str">
        <f t="shared" si="0"/>
        <v> </v>
      </c>
      <c r="AH15" s="179" t="str">
        <f t="shared" si="0"/>
        <v> </v>
      </c>
      <c r="AI15" s="179" t="str">
        <f t="shared" si="0"/>
        <v> </v>
      </c>
      <c r="AL15" s="175"/>
      <c r="AM15" s="176" t="s">
        <v>168</v>
      </c>
      <c r="AN15" s="176" t="s">
        <v>86</v>
      </c>
      <c r="AO15" s="175"/>
      <c r="AP15" s="178" t="s">
        <v>172</v>
      </c>
      <c r="AQ15" s="175"/>
      <c r="AR15" s="176" t="s">
        <v>171</v>
      </c>
    </row>
    <row r="16" spans="1:44" ht="12.75">
      <c r="A16" s="186"/>
      <c r="B16" s="187"/>
      <c r="C16" s="187"/>
      <c r="D16" s="232"/>
      <c r="E16" s="186"/>
      <c r="F16" s="232"/>
      <c r="G16" s="186"/>
      <c r="H16" s="232"/>
      <c r="M16" s="170" t="s">
        <v>169</v>
      </c>
      <c r="N16">
        <f>COUNT(M5:M12)-1</f>
        <v>3</v>
      </c>
      <c r="P16">
        <f>P18-P17</f>
        <v>105.125</v>
      </c>
      <c r="R16">
        <f>P16/N16</f>
        <v>35.041666666666664</v>
      </c>
      <c r="AB16" s="179" t="str">
        <f t="shared" si="1"/>
        <v> </v>
      </c>
      <c r="AC16" s="179" t="str">
        <f t="shared" si="0"/>
        <v> </v>
      </c>
      <c r="AD16" s="179" t="str">
        <f t="shared" si="0"/>
        <v> </v>
      </c>
      <c r="AE16" s="179" t="str">
        <f t="shared" si="0"/>
        <v> </v>
      </c>
      <c r="AF16" s="179" t="str">
        <f t="shared" si="0"/>
        <v> </v>
      </c>
      <c r="AG16" s="179" t="str">
        <f t="shared" si="0"/>
        <v> </v>
      </c>
      <c r="AH16" s="179" t="str">
        <f t="shared" si="0"/>
        <v> </v>
      </c>
      <c r="AI16" s="179" t="str">
        <f t="shared" si="0"/>
        <v> </v>
      </c>
      <c r="AM16" s="170" t="s">
        <v>169</v>
      </c>
      <c r="AN16">
        <f>COUNT(AM5:AM12)-1</f>
        <v>3</v>
      </c>
      <c r="AP16">
        <f>AP18-AP17</f>
        <v>509.86574074073974</v>
      </c>
      <c r="AR16">
        <f>AP16/AN16</f>
        <v>169.9552469135799</v>
      </c>
    </row>
    <row r="17" spans="1:44" ht="12.75">
      <c r="A17" s="186"/>
      <c r="B17" s="187"/>
      <c r="C17" s="187"/>
      <c r="D17" s="232"/>
      <c r="E17" s="186"/>
      <c r="F17" s="232"/>
      <c r="G17" s="186"/>
      <c r="H17" s="232"/>
      <c r="M17" s="170" t="s">
        <v>170</v>
      </c>
      <c r="N17">
        <f>SUM(N5:N12)-COUNT(M5:M12)</f>
        <v>20</v>
      </c>
      <c r="P17">
        <f>SUM(R5:R12)</f>
        <v>5296.5</v>
      </c>
      <c r="R17">
        <f>P17/N17</f>
        <v>264.825</v>
      </c>
      <c r="AB17" s="179" t="str">
        <f t="shared" si="1"/>
        <v> </v>
      </c>
      <c r="AC17" s="179" t="str">
        <f t="shared" si="0"/>
        <v> </v>
      </c>
      <c r="AD17" s="179" t="str">
        <f t="shared" si="0"/>
        <v> </v>
      </c>
      <c r="AE17" s="179" t="str">
        <f t="shared" si="0"/>
        <v> </v>
      </c>
      <c r="AF17" s="179" t="str">
        <f t="shared" si="0"/>
        <v> </v>
      </c>
      <c r="AG17" s="179" t="str">
        <f t="shared" si="0"/>
        <v> </v>
      </c>
      <c r="AH17" s="179" t="str">
        <f t="shared" si="0"/>
        <v> </v>
      </c>
      <c r="AI17" s="179" t="str">
        <f t="shared" si="0"/>
        <v> </v>
      </c>
      <c r="AM17" s="170" t="s">
        <v>170</v>
      </c>
      <c r="AN17">
        <f>SUM(AN5:AN12)-COUNT(AM5:AM12)</f>
        <v>20</v>
      </c>
      <c r="AP17">
        <f>SUM(AR5:AR12)</f>
        <v>1527.7407407407402</v>
      </c>
      <c r="AR17">
        <f>AP17/AN17</f>
        <v>76.387037037037</v>
      </c>
    </row>
    <row r="18" spans="1:44" ht="13.5" thickBot="1">
      <c r="A18" s="186"/>
      <c r="B18" s="187"/>
      <c r="C18" s="187"/>
      <c r="D18" s="232"/>
      <c r="E18" s="186"/>
      <c r="F18" s="232"/>
      <c r="G18" s="186"/>
      <c r="H18" s="232"/>
      <c r="L18" s="174"/>
      <c r="M18" s="182" t="s">
        <v>23</v>
      </c>
      <c r="N18" s="174">
        <f>SUM(N5:N12)-1</f>
        <v>23</v>
      </c>
      <c r="O18" s="174"/>
      <c r="P18" s="174">
        <f>N18*VAR(A6:H105)</f>
        <v>5401.625</v>
      </c>
      <c r="Q18" s="174"/>
      <c r="R18" s="174"/>
      <c r="AB18" s="179" t="str">
        <f t="shared" si="1"/>
        <v> </v>
      </c>
      <c r="AC18" s="179" t="str">
        <f t="shared" si="0"/>
        <v> </v>
      </c>
      <c r="AD18" s="179" t="str">
        <f t="shared" si="0"/>
        <v> </v>
      </c>
      <c r="AE18" s="179" t="str">
        <f t="shared" si="0"/>
        <v> </v>
      </c>
      <c r="AF18" s="179" t="str">
        <f t="shared" si="0"/>
        <v> </v>
      </c>
      <c r="AG18" s="179" t="str">
        <f t="shared" si="0"/>
        <v> </v>
      </c>
      <c r="AH18" s="179" t="str">
        <f t="shared" si="0"/>
        <v> </v>
      </c>
      <c r="AI18" s="179" t="str">
        <f t="shared" si="0"/>
        <v> </v>
      </c>
      <c r="AL18" s="172"/>
      <c r="AM18" s="171" t="s">
        <v>23</v>
      </c>
      <c r="AN18" s="172">
        <f>SUM(AN5:AN12)-1</f>
        <v>23</v>
      </c>
      <c r="AO18" s="172"/>
      <c r="AP18" s="172">
        <f>AN18*VAR(AB6:AI105)</f>
        <v>2037.60648148148</v>
      </c>
      <c r="AQ18" s="172"/>
      <c r="AR18" s="172"/>
    </row>
    <row r="19" spans="1:35" ht="13.5" thickTop="1">
      <c r="A19" s="186"/>
      <c r="B19" s="187"/>
      <c r="C19" s="187"/>
      <c r="D19" s="232"/>
      <c r="E19" s="186"/>
      <c r="F19" s="232"/>
      <c r="G19" s="186"/>
      <c r="H19" s="232"/>
      <c r="J19" t="s">
        <v>205</v>
      </c>
      <c r="AB19" s="179" t="str">
        <f t="shared" si="1"/>
        <v> </v>
      </c>
      <c r="AC19" s="179" t="str">
        <f t="shared" si="0"/>
        <v> </v>
      </c>
      <c r="AD19" s="179" t="str">
        <f t="shared" si="0"/>
        <v> </v>
      </c>
      <c r="AE19" s="179" t="str">
        <f t="shared" si="0"/>
        <v> </v>
      </c>
      <c r="AF19" s="179" t="str">
        <f t="shared" si="0"/>
        <v> </v>
      </c>
      <c r="AG19" s="179" t="str">
        <f t="shared" si="0"/>
        <v> </v>
      </c>
      <c r="AH19" s="179" t="str">
        <f t="shared" si="0"/>
        <v> </v>
      </c>
      <c r="AI19" s="179" t="str">
        <f t="shared" si="0"/>
        <v> </v>
      </c>
    </row>
    <row r="20" spans="1:43" ht="12.75">
      <c r="A20" s="186"/>
      <c r="B20" s="187"/>
      <c r="C20" s="187"/>
      <c r="D20" s="232"/>
      <c r="E20" s="186"/>
      <c r="F20" s="232"/>
      <c r="G20" s="186"/>
      <c r="H20" s="232"/>
      <c r="J20" t="s">
        <v>206</v>
      </c>
      <c r="M20" s="170" t="s">
        <v>173</v>
      </c>
      <c r="N20">
        <f>R16/R17</f>
        <v>0.13232008559111363</v>
      </c>
      <c r="P20" s="170" t="s">
        <v>174</v>
      </c>
      <c r="Q20">
        <f>FDIST(N20,N16,N17)</f>
        <v>0.939687644757394</v>
      </c>
      <c r="AB20" s="179" t="str">
        <f t="shared" si="1"/>
        <v> </v>
      </c>
      <c r="AC20" s="179" t="str">
        <f t="shared" si="0"/>
        <v> </v>
      </c>
      <c r="AD20" s="179" t="str">
        <f t="shared" si="0"/>
        <v> </v>
      </c>
      <c r="AE20" s="179" t="str">
        <f t="shared" si="0"/>
        <v> </v>
      </c>
      <c r="AF20" s="179" t="str">
        <f t="shared" si="0"/>
        <v> </v>
      </c>
      <c r="AG20" s="179" t="str">
        <f t="shared" si="0"/>
        <v> </v>
      </c>
      <c r="AH20" s="179" t="str">
        <f t="shared" si="0"/>
        <v> </v>
      </c>
      <c r="AI20" s="179" t="str">
        <f t="shared" si="0"/>
        <v> </v>
      </c>
      <c r="AQ20" s="170"/>
    </row>
    <row r="21" spans="1:35" ht="13.5" thickBot="1">
      <c r="A21" s="186"/>
      <c r="B21" s="187"/>
      <c r="C21" s="187"/>
      <c r="D21" s="232"/>
      <c r="E21" s="186"/>
      <c r="F21" s="232"/>
      <c r="G21" s="186"/>
      <c r="H21" s="232"/>
      <c r="J21" t="s">
        <v>207</v>
      </c>
      <c r="L21" s="174"/>
      <c r="M21" s="174"/>
      <c r="N21" s="174"/>
      <c r="O21" s="174"/>
      <c r="P21" s="174"/>
      <c r="Q21" s="182" t="s">
        <v>175</v>
      </c>
      <c r="R21" s="174" t="str">
        <f>IF(Q20&lt;0.05,((2*R17/HARMEAN(N5:N12))^0.5)*TINV(0.05,N17),"none")</f>
        <v>none</v>
      </c>
      <c r="AB21" s="179" t="str">
        <f t="shared" si="1"/>
        <v> </v>
      </c>
      <c r="AC21" s="179" t="str">
        <f t="shared" si="0"/>
        <v> </v>
      </c>
      <c r="AD21" s="179" t="str">
        <f t="shared" si="0"/>
        <v> </v>
      </c>
      <c r="AE21" s="179" t="str">
        <f t="shared" si="0"/>
        <v> </v>
      </c>
      <c r="AF21" s="179" t="str">
        <f t="shared" si="0"/>
        <v> </v>
      </c>
      <c r="AG21" s="179" t="str">
        <f t="shared" si="0"/>
        <v> </v>
      </c>
      <c r="AH21" s="179" t="str">
        <f t="shared" si="0"/>
        <v> </v>
      </c>
      <c r="AI21" s="179" t="str">
        <f t="shared" si="0"/>
        <v> </v>
      </c>
    </row>
    <row r="22" spans="1:35" ht="13.5" thickTop="1">
      <c r="A22" s="186"/>
      <c r="B22" s="187"/>
      <c r="C22" s="187"/>
      <c r="D22" s="232"/>
      <c r="E22" s="186"/>
      <c r="F22" s="232"/>
      <c r="G22" s="186"/>
      <c r="H22" s="232"/>
      <c r="J22" t="s">
        <v>208</v>
      </c>
      <c r="M22" s="170"/>
      <c r="AB22" s="179" t="str">
        <f t="shared" si="1"/>
        <v> </v>
      </c>
      <c r="AC22" s="179" t="str">
        <f aca="true" t="shared" si="2" ref="AC22:AC85">IF(ISBLANK(B22)=TRUE," ",ABS(B22-AVERAGE(B$6:B$105)))</f>
        <v> </v>
      </c>
      <c r="AD22" s="179" t="str">
        <f aca="true" t="shared" si="3" ref="AD22:AD85">IF(ISBLANK(C22)=TRUE," ",ABS(C22-AVERAGE(C$6:C$105)))</f>
        <v> </v>
      </c>
      <c r="AE22" s="179" t="str">
        <f aca="true" t="shared" si="4" ref="AE22:AE85">IF(ISBLANK(D22)=TRUE," ",ABS(D22-AVERAGE(D$6:D$105)))</f>
        <v> </v>
      </c>
      <c r="AF22" s="179" t="str">
        <f aca="true" t="shared" si="5" ref="AF22:AF85">IF(ISBLANK(E22)=TRUE," ",ABS(E22-AVERAGE(E$6:E$105)))</f>
        <v> </v>
      </c>
      <c r="AG22" s="179" t="str">
        <f aca="true" t="shared" si="6" ref="AG22:AG85">IF(ISBLANK(F22)=TRUE," ",ABS(F22-AVERAGE(F$6:F$105)))</f>
        <v> </v>
      </c>
      <c r="AH22" s="179" t="str">
        <f aca="true" t="shared" si="7" ref="AH22:AH85">IF(ISBLANK(G22)=TRUE," ",ABS(G22-AVERAGE(G$6:G$105)))</f>
        <v> </v>
      </c>
      <c r="AI22" s="179" t="str">
        <f aca="true" t="shared" si="8" ref="AI22:AI85">IF(ISBLANK(H22)=TRUE," ",ABS(H22-AVERAGE(H$6:H$105)))</f>
        <v> </v>
      </c>
    </row>
    <row r="23" spans="1:35" ht="12.75">
      <c r="A23" s="186"/>
      <c r="B23" s="187"/>
      <c r="C23" s="187"/>
      <c r="D23" s="232"/>
      <c r="E23" s="186"/>
      <c r="F23" s="232"/>
      <c r="G23" s="186"/>
      <c r="H23" s="232"/>
      <c r="L23" s="169" t="s">
        <v>185</v>
      </c>
      <c r="AB23" s="179" t="str">
        <f t="shared" si="1"/>
        <v> </v>
      </c>
      <c r="AC23" s="179" t="str">
        <f t="shared" si="2"/>
        <v> </v>
      </c>
      <c r="AD23" s="179" t="str">
        <f t="shared" si="3"/>
        <v> </v>
      </c>
      <c r="AE23" s="179" t="str">
        <f t="shared" si="4"/>
        <v> </v>
      </c>
      <c r="AF23" s="179" t="str">
        <f t="shared" si="5"/>
        <v> </v>
      </c>
      <c r="AG23" s="179" t="str">
        <f t="shared" si="6"/>
        <v> </v>
      </c>
      <c r="AH23" s="179" t="str">
        <f t="shared" si="7"/>
        <v> </v>
      </c>
      <c r="AI23" s="179" t="str">
        <f t="shared" si="8"/>
        <v> </v>
      </c>
    </row>
    <row r="24" spans="1:35" ht="12.75">
      <c r="A24" s="186"/>
      <c r="B24" s="187"/>
      <c r="C24" s="187"/>
      <c r="D24" s="232"/>
      <c r="E24" s="186"/>
      <c r="F24" s="232"/>
      <c r="G24" s="186"/>
      <c r="H24" s="232"/>
      <c r="P24" s="170" t="s">
        <v>186</v>
      </c>
      <c r="Q24" t="str">
        <f>IF(O26&lt;0.05,"is not met","is met")</f>
        <v>is met</v>
      </c>
      <c r="AB24" s="179" t="str">
        <f t="shared" si="1"/>
        <v> </v>
      </c>
      <c r="AC24" s="179" t="str">
        <f t="shared" si="2"/>
        <v> </v>
      </c>
      <c r="AD24" s="179" t="str">
        <f t="shared" si="3"/>
        <v> </v>
      </c>
      <c r="AE24" s="179" t="str">
        <f t="shared" si="4"/>
        <v> </v>
      </c>
      <c r="AF24" s="179" t="str">
        <f t="shared" si="5"/>
        <v> </v>
      </c>
      <c r="AG24" s="179" t="str">
        <f t="shared" si="6"/>
        <v> </v>
      </c>
      <c r="AH24" s="179" t="str">
        <f t="shared" si="7"/>
        <v> </v>
      </c>
      <c r="AI24" s="179" t="str">
        <f t="shared" si="8"/>
        <v> </v>
      </c>
    </row>
    <row r="25" spans="1:35" ht="12.75">
      <c r="A25" s="186"/>
      <c r="B25" s="187"/>
      <c r="C25" s="187"/>
      <c r="D25" s="232"/>
      <c r="E25" s="186"/>
      <c r="F25" s="232"/>
      <c r="G25" s="186"/>
      <c r="H25" s="232"/>
      <c r="N25" s="170" t="s">
        <v>173</v>
      </c>
      <c r="O25">
        <f>AR16/AR17</f>
        <v>2.2249226243868505</v>
      </c>
      <c r="AB25" s="179" t="str">
        <f t="shared" si="1"/>
        <v> </v>
      </c>
      <c r="AC25" s="179" t="str">
        <f t="shared" si="2"/>
        <v> </v>
      </c>
      <c r="AD25" s="179" t="str">
        <f t="shared" si="3"/>
        <v> </v>
      </c>
      <c r="AE25" s="179" t="str">
        <f t="shared" si="4"/>
        <v> </v>
      </c>
      <c r="AF25" s="179" t="str">
        <f t="shared" si="5"/>
        <v> </v>
      </c>
      <c r="AG25" s="179" t="str">
        <f t="shared" si="6"/>
        <v> </v>
      </c>
      <c r="AH25" s="179" t="str">
        <f t="shared" si="7"/>
        <v> </v>
      </c>
      <c r="AI25" s="179" t="str">
        <f t="shared" si="8"/>
        <v> </v>
      </c>
    </row>
    <row r="26" spans="1:35" ht="13.5" thickBot="1">
      <c r="A26" s="186"/>
      <c r="B26" s="187"/>
      <c r="C26" s="187"/>
      <c r="D26" s="232"/>
      <c r="E26" s="186"/>
      <c r="F26" s="232"/>
      <c r="G26" s="186"/>
      <c r="H26" s="232"/>
      <c r="L26" s="174"/>
      <c r="M26" s="174"/>
      <c r="N26" s="182" t="s">
        <v>174</v>
      </c>
      <c r="O26" s="174">
        <f>FDIST(O25,AN16,AN17)</f>
        <v>0.11671326307595406</v>
      </c>
      <c r="P26" s="174"/>
      <c r="Q26" s="174"/>
      <c r="R26" s="174"/>
      <c r="AB26" s="179" t="str">
        <f t="shared" si="1"/>
        <v> </v>
      </c>
      <c r="AC26" s="179" t="str">
        <f t="shared" si="2"/>
        <v> </v>
      </c>
      <c r="AD26" s="179" t="str">
        <f t="shared" si="3"/>
        <v> </v>
      </c>
      <c r="AE26" s="179" t="str">
        <f t="shared" si="4"/>
        <v> </v>
      </c>
      <c r="AF26" s="179" t="str">
        <f t="shared" si="5"/>
        <v> </v>
      </c>
      <c r="AG26" s="179" t="str">
        <f t="shared" si="6"/>
        <v> </v>
      </c>
      <c r="AH26" s="179" t="str">
        <f t="shared" si="7"/>
        <v> </v>
      </c>
      <c r="AI26" s="179" t="str">
        <f t="shared" si="8"/>
        <v> </v>
      </c>
    </row>
    <row r="27" spans="1:35" ht="13.5" thickTop="1">
      <c r="A27" s="186"/>
      <c r="B27" s="187"/>
      <c r="C27" s="187"/>
      <c r="D27" s="232"/>
      <c r="E27" s="186"/>
      <c r="F27" s="232"/>
      <c r="G27" s="186"/>
      <c r="H27" s="232"/>
      <c r="AB27" s="179" t="str">
        <f t="shared" si="1"/>
        <v> </v>
      </c>
      <c r="AC27" s="179" t="str">
        <f t="shared" si="2"/>
        <v> </v>
      </c>
      <c r="AD27" s="179" t="str">
        <f t="shared" si="3"/>
        <v> </v>
      </c>
      <c r="AE27" s="179" t="str">
        <f t="shared" si="4"/>
        <v> </v>
      </c>
      <c r="AF27" s="179" t="str">
        <f t="shared" si="5"/>
        <v> </v>
      </c>
      <c r="AG27" s="179" t="str">
        <f t="shared" si="6"/>
        <v> </v>
      </c>
      <c r="AH27" s="179" t="str">
        <f t="shared" si="7"/>
        <v> </v>
      </c>
      <c r="AI27" s="179" t="str">
        <f t="shared" si="8"/>
        <v> </v>
      </c>
    </row>
    <row r="28" spans="1:35" ht="12.75">
      <c r="A28" s="186"/>
      <c r="B28" s="187"/>
      <c r="C28" s="187"/>
      <c r="D28" s="232"/>
      <c r="E28" s="186"/>
      <c r="F28" s="232"/>
      <c r="G28" s="186"/>
      <c r="H28" s="232"/>
      <c r="AB28" s="179" t="str">
        <f t="shared" si="1"/>
        <v> </v>
      </c>
      <c r="AC28" s="179" t="str">
        <f t="shared" si="2"/>
        <v> </v>
      </c>
      <c r="AD28" s="179" t="str">
        <f t="shared" si="3"/>
        <v> </v>
      </c>
      <c r="AE28" s="179" t="str">
        <f t="shared" si="4"/>
        <v> </v>
      </c>
      <c r="AF28" s="179" t="str">
        <f t="shared" si="5"/>
        <v> </v>
      </c>
      <c r="AG28" s="179" t="str">
        <f t="shared" si="6"/>
        <v> </v>
      </c>
      <c r="AH28" s="179" t="str">
        <f t="shared" si="7"/>
        <v> </v>
      </c>
      <c r="AI28" s="179" t="str">
        <f t="shared" si="8"/>
        <v> </v>
      </c>
    </row>
    <row r="29" spans="1:35" ht="12.75">
      <c r="A29" s="186"/>
      <c r="B29" s="187"/>
      <c r="C29" s="187"/>
      <c r="D29" s="232"/>
      <c r="E29" s="186"/>
      <c r="F29" s="232"/>
      <c r="G29" s="186"/>
      <c r="H29" s="232"/>
      <c r="AB29" s="179" t="str">
        <f t="shared" si="1"/>
        <v> </v>
      </c>
      <c r="AC29" s="179" t="str">
        <f t="shared" si="2"/>
        <v> </v>
      </c>
      <c r="AD29" s="179" t="str">
        <f t="shared" si="3"/>
        <v> </v>
      </c>
      <c r="AE29" s="179" t="str">
        <f t="shared" si="4"/>
        <v> </v>
      </c>
      <c r="AF29" s="179" t="str">
        <f t="shared" si="5"/>
        <v> </v>
      </c>
      <c r="AG29" s="179" t="str">
        <f t="shared" si="6"/>
        <v> </v>
      </c>
      <c r="AH29" s="179" t="str">
        <f t="shared" si="7"/>
        <v> </v>
      </c>
      <c r="AI29" s="179" t="str">
        <f t="shared" si="8"/>
        <v> </v>
      </c>
    </row>
    <row r="30" spans="1:35" ht="12.75">
      <c r="A30" s="186"/>
      <c r="B30" s="187"/>
      <c r="C30" s="187"/>
      <c r="D30" s="232"/>
      <c r="E30" s="186"/>
      <c r="F30" s="232"/>
      <c r="G30" s="186"/>
      <c r="H30" s="232"/>
      <c r="L30" t="s">
        <v>202</v>
      </c>
      <c r="AB30" s="179" t="str">
        <f t="shared" si="1"/>
        <v> </v>
      </c>
      <c r="AC30" s="179" t="str">
        <f t="shared" si="2"/>
        <v> </v>
      </c>
      <c r="AD30" s="179" t="str">
        <f t="shared" si="3"/>
        <v> </v>
      </c>
      <c r="AE30" s="179" t="str">
        <f t="shared" si="4"/>
        <v> </v>
      </c>
      <c r="AF30" s="179" t="str">
        <f t="shared" si="5"/>
        <v> </v>
      </c>
      <c r="AG30" s="179" t="str">
        <f t="shared" si="6"/>
        <v> </v>
      </c>
      <c r="AH30" s="179" t="str">
        <f t="shared" si="7"/>
        <v> </v>
      </c>
      <c r="AI30" s="179" t="str">
        <f t="shared" si="8"/>
        <v> </v>
      </c>
    </row>
    <row r="31" spans="1:35" ht="12.75">
      <c r="A31" s="186"/>
      <c r="B31" s="187"/>
      <c r="C31" s="187"/>
      <c r="D31" s="232"/>
      <c r="E31" s="186"/>
      <c r="F31" s="232"/>
      <c r="G31" s="186"/>
      <c r="H31" s="232"/>
      <c r="AB31" s="179" t="str">
        <f t="shared" si="1"/>
        <v> </v>
      </c>
      <c r="AC31" s="179" t="str">
        <f t="shared" si="2"/>
        <v> </v>
      </c>
      <c r="AD31" s="179" t="str">
        <f t="shared" si="3"/>
        <v> </v>
      </c>
      <c r="AE31" s="179" t="str">
        <f t="shared" si="4"/>
        <v> </v>
      </c>
      <c r="AF31" s="179" t="str">
        <f t="shared" si="5"/>
        <v> </v>
      </c>
      <c r="AG31" s="179" t="str">
        <f t="shared" si="6"/>
        <v> </v>
      </c>
      <c r="AH31" s="179" t="str">
        <f t="shared" si="7"/>
        <v> </v>
      </c>
      <c r="AI31" s="179" t="str">
        <f t="shared" si="8"/>
        <v> </v>
      </c>
    </row>
    <row r="32" spans="1:35" ht="12.75">
      <c r="A32" s="186"/>
      <c r="B32" s="187"/>
      <c r="C32" s="187"/>
      <c r="D32" s="232"/>
      <c r="E32" s="186"/>
      <c r="F32" s="232"/>
      <c r="G32" s="186"/>
      <c r="H32" s="232"/>
      <c r="L32" t="s">
        <v>167</v>
      </c>
      <c r="AB32" s="179" t="str">
        <f t="shared" si="1"/>
        <v> </v>
      </c>
      <c r="AC32" s="179" t="str">
        <f t="shared" si="2"/>
        <v> </v>
      </c>
      <c r="AD32" s="179" t="str">
        <f t="shared" si="3"/>
        <v> </v>
      </c>
      <c r="AE32" s="179" t="str">
        <f t="shared" si="4"/>
        <v> </v>
      </c>
      <c r="AF32" s="179" t="str">
        <f t="shared" si="5"/>
        <v> </v>
      </c>
      <c r="AG32" s="179" t="str">
        <f t="shared" si="6"/>
        <v> </v>
      </c>
      <c r="AH32" s="179" t="str">
        <f t="shared" si="7"/>
        <v> </v>
      </c>
      <c r="AI32" s="179" t="str">
        <f t="shared" si="8"/>
        <v> </v>
      </c>
    </row>
    <row r="33" spans="1:35" ht="12.75">
      <c r="A33" s="186"/>
      <c r="B33" s="187"/>
      <c r="C33" s="187"/>
      <c r="D33" s="232"/>
      <c r="E33" s="186"/>
      <c r="F33" s="232"/>
      <c r="G33" s="186"/>
      <c r="H33" s="232"/>
      <c r="L33" s="171" t="s">
        <v>164</v>
      </c>
      <c r="M33" s="171" t="s">
        <v>103</v>
      </c>
      <c r="N33" s="171" t="s">
        <v>94</v>
      </c>
      <c r="O33" s="171" t="s">
        <v>165</v>
      </c>
      <c r="P33" s="171" t="s">
        <v>1</v>
      </c>
      <c r="Q33" s="171" t="s">
        <v>92</v>
      </c>
      <c r="R33" s="171" t="s">
        <v>200</v>
      </c>
      <c r="AB33" s="179" t="str">
        <f t="shared" si="1"/>
        <v> </v>
      </c>
      <c r="AC33" s="179" t="str">
        <f t="shared" si="2"/>
        <v> </v>
      </c>
      <c r="AD33" s="179" t="str">
        <f t="shared" si="3"/>
        <v> </v>
      </c>
      <c r="AE33" s="179" t="str">
        <f t="shared" si="4"/>
        <v> </v>
      </c>
      <c r="AF33" s="179" t="str">
        <f t="shared" si="5"/>
        <v> </v>
      </c>
      <c r="AG33" s="179" t="str">
        <f t="shared" si="6"/>
        <v> </v>
      </c>
      <c r="AH33" s="179" t="str">
        <f t="shared" si="7"/>
        <v> </v>
      </c>
      <c r="AI33" s="179" t="str">
        <f t="shared" si="8"/>
        <v> </v>
      </c>
    </row>
    <row r="34" spans="1:35" ht="12.75">
      <c r="A34" s="186"/>
      <c r="B34" s="187"/>
      <c r="C34" s="187"/>
      <c r="D34" s="232"/>
      <c r="E34" s="186"/>
      <c r="F34" s="232"/>
      <c r="G34" s="186"/>
      <c r="H34" s="232"/>
      <c r="L34" t="s">
        <v>160</v>
      </c>
      <c r="M34">
        <v>72</v>
      </c>
      <c r="N34">
        <v>6</v>
      </c>
      <c r="O34">
        <v>178</v>
      </c>
      <c r="P34">
        <v>13.341664064126334</v>
      </c>
      <c r="Q34">
        <v>5.446711546122732</v>
      </c>
      <c r="R34">
        <v>890</v>
      </c>
      <c r="AB34" s="179" t="str">
        <f t="shared" si="1"/>
        <v> </v>
      </c>
      <c r="AC34" s="179" t="str">
        <f t="shared" si="2"/>
        <v> </v>
      </c>
      <c r="AD34" s="179" t="str">
        <f t="shared" si="3"/>
        <v> </v>
      </c>
      <c r="AE34" s="179" t="str">
        <f t="shared" si="4"/>
        <v> </v>
      </c>
      <c r="AF34" s="179" t="str">
        <f t="shared" si="5"/>
        <v> </v>
      </c>
      <c r="AG34" s="179" t="str">
        <f t="shared" si="6"/>
        <v> </v>
      </c>
      <c r="AH34" s="179" t="str">
        <f t="shared" si="7"/>
        <v> </v>
      </c>
      <c r="AI34" s="179" t="str">
        <f t="shared" si="8"/>
        <v> </v>
      </c>
    </row>
    <row r="35" spans="1:35" ht="12.75">
      <c r="A35" s="186"/>
      <c r="B35" s="187"/>
      <c r="C35" s="187"/>
      <c r="D35" s="232"/>
      <c r="E35" s="186"/>
      <c r="F35" s="232"/>
      <c r="G35" s="186"/>
      <c r="H35" s="232"/>
      <c r="L35" t="s">
        <v>51</v>
      </c>
      <c r="M35">
        <v>85</v>
      </c>
      <c r="N35">
        <v>6</v>
      </c>
      <c r="O35">
        <v>60.4</v>
      </c>
      <c r="P35">
        <v>7.771743691090179</v>
      </c>
      <c r="Q35">
        <v>3.1728010758108782</v>
      </c>
      <c r="R35">
        <v>302</v>
      </c>
      <c r="AB35" s="179" t="str">
        <f t="shared" si="1"/>
        <v> </v>
      </c>
      <c r="AC35" s="179" t="str">
        <f t="shared" si="2"/>
        <v> </v>
      </c>
      <c r="AD35" s="179" t="str">
        <f t="shared" si="3"/>
        <v> </v>
      </c>
      <c r="AE35" s="179" t="str">
        <f t="shared" si="4"/>
        <v> </v>
      </c>
      <c r="AF35" s="179" t="str">
        <f t="shared" si="5"/>
        <v> </v>
      </c>
      <c r="AG35" s="179" t="str">
        <f t="shared" si="6"/>
        <v> </v>
      </c>
      <c r="AH35" s="179" t="str">
        <f t="shared" si="7"/>
        <v> </v>
      </c>
      <c r="AI35" s="179" t="str">
        <f t="shared" si="8"/>
        <v> </v>
      </c>
    </row>
    <row r="36" spans="1:35" ht="12.75">
      <c r="A36" s="186"/>
      <c r="B36" s="187"/>
      <c r="C36" s="187"/>
      <c r="D36" s="232"/>
      <c r="E36" s="186"/>
      <c r="F36" s="232"/>
      <c r="G36" s="186"/>
      <c r="H36" s="232"/>
      <c r="L36" t="s">
        <v>161</v>
      </c>
      <c r="M36">
        <v>76</v>
      </c>
      <c r="N36">
        <v>6</v>
      </c>
      <c r="O36">
        <v>97.6</v>
      </c>
      <c r="P36">
        <v>9.879271228182775</v>
      </c>
      <c r="Q36">
        <v>4.033195589934446</v>
      </c>
      <c r="R36">
        <v>488</v>
      </c>
      <c r="AB36" s="179" t="str">
        <f t="shared" si="1"/>
        <v> </v>
      </c>
      <c r="AC36" s="179" t="str">
        <f t="shared" si="2"/>
        <v> </v>
      </c>
      <c r="AD36" s="179" t="str">
        <f t="shared" si="3"/>
        <v> </v>
      </c>
      <c r="AE36" s="179" t="str">
        <f t="shared" si="4"/>
        <v> </v>
      </c>
      <c r="AF36" s="179" t="str">
        <f t="shared" si="5"/>
        <v> </v>
      </c>
      <c r="AG36" s="179" t="str">
        <f t="shared" si="6"/>
        <v> </v>
      </c>
      <c r="AH36" s="179" t="str">
        <f t="shared" si="7"/>
        <v> </v>
      </c>
      <c r="AI36" s="179" t="str">
        <f t="shared" si="8"/>
        <v> </v>
      </c>
    </row>
    <row r="37" spans="1:35" ht="12.75">
      <c r="A37" s="186"/>
      <c r="B37" s="187"/>
      <c r="C37" s="187"/>
      <c r="D37" s="232"/>
      <c r="E37" s="186"/>
      <c r="F37" s="232"/>
      <c r="G37" s="186"/>
      <c r="H37" s="232"/>
      <c r="L37" t="s">
        <v>81</v>
      </c>
      <c r="M37">
        <v>62</v>
      </c>
      <c r="N37">
        <v>6</v>
      </c>
      <c r="O37">
        <v>67.6</v>
      </c>
      <c r="P37">
        <v>8.221921916437786</v>
      </c>
      <c r="Q37">
        <v>3.356585566713095</v>
      </c>
      <c r="R37">
        <v>338</v>
      </c>
      <c r="AB37" s="179" t="str">
        <f t="shared" si="1"/>
        <v> </v>
      </c>
      <c r="AC37" s="179" t="str">
        <f t="shared" si="2"/>
        <v> </v>
      </c>
      <c r="AD37" s="179" t="str">
        <f t="shared" si="3"/>
        <v> </v>
      </c>
      <c r="AE37" s="179" t="str">
        <f t="shared" si="4"/>
        <v> </v>
      </c>
      <c r="AF37" s="179" t="str">
        <f t="shared" si="5"/>
        <v> </v>
      </c>
      <c r="AG37" s="179" t="str">
        <f t="shared" si="6"/>
        <v> </v>
      </c>
      <c r="AH37" s="179" t="str">
        <f t="shared" si="7"/>
        <v> </v>
      </c>
      <c r="AI37" s="179" t="str">
        <f t="shared" si="8"/>
        <v> </v>
      </c>
    </row>
    <row r="38" spans="1:35" ht="12.75">
      <c r="A38" s="186"/>
      <c r="B38" s="187"/>
      <c r="C38" s="187"/>
      <c r="D38" s="232"/>
      <c r="E38" s="186"/>
      <c r="F38" s="232"/>
      <c r="G38" s="186"/>
      <c r="H38" s="232"/>
      <c r="L38" t="s">
        <v>73</v>
      </c>
      <c r="M38" t="s">
        <v>76</v>
      </c>
      <c r="N38" t="s">
        <v>76</v>
      </c>
      <c r="O38" t="s">
        <v>76</v>
      </c>
      <c r="P38" t="s">
        <v>76</v>
      </c>
      <c r="Q38" t="s">
        <v>76</v>
      </c>
      <c r="R38" t="s">
        <v>76</v>
      </c>
      <c r="AB38" s="179" t="str">
        <f t="shared" si="1"/>
        <v> </v>
      </c>
      <c r="AC38" s="179" t="str">
        <f t="shared" si="2"/>
        <v> </v>
      </c>
      <c r="AD38" s="179" t="str">
        <f t="shared" si="3"/>
        <v> </v>
      </c>
      <c r="AE38" s="179" t="str">
        <f t="shared" si="4"/>
        <v> </v>
      </c>
      <c r="AF38" s="179" t="str">
        <f t="shared" si="5"/>
        <v> </v>
      </c>
      <c r="AG38" s="179" t="str">
        <f t="shared" si="6"/>
        <v> </v>
      </c>
      <c r="AH38" s="179" t="str">
        <f t="shared" si="7"/>
        <v> </v>
      </c>
      <c r="AI38" s="179" t="str">
        <f t="shared" si="8"/>
        <v> </v>
      </c>
    </row>
    <row r="39" spans="1:35" ht="12.75">
      <c r="A39" s="186"/>
      <c r="B39" s="187"/>
      <c r="C39" s="187"/>
      <c r="D39" s="232"/>
      <c r="E39" s="186"/>
      <c r="F39" s="232"/>
      <c r="G39" s="186"/>
      <c r="H39" s="232"/>
      <c r="L39" t="s">
        <v>74</v>
      </c>
      <c r="M39" t="s">
        <v>76</v>
      </c>
      <c r="N39" t="s">
        <v>76</v>
      </c>
      <c r="O39" t="s">
        <v>76</v>
      </c>
      <c r="P39" t="s">
        <v>76</v>
      </c>
      <c r="Q39" t="s">
        <v>76</v>
      </c>
      <c r="R39" t="s">
        <v>76</v>
      </c>
      <c r="AB39" s="179" t="str">
        <f t="shared" si="1"/>
        <v> </v>
      </c>
      <c r="AC39" s="179" t="str">
        <f t="shared" si="2"/>
        <v> </v>
      </c>
      <c r="AD39" s="179" t="str">
        <f t="shared" si="3"/>
        <v> </v>
      </c>
      <c r="AE39" s="179" t="str">
        <f t="shared" si="4"/>
        <v> </v>
      </c>
      <c r="AF39" s="179" t="str">
        <f t="shared" si="5"/>
        <v> </v>
      </c>
      <c r="AG39" s="179" t="str">
        <f t="shared" si="6"/>
        <v> </v>
      </c>
      <c r="AH39" s="179" t="str">
        <f t="shared" si="7"/>
        <v> </v>
      </c>
      <c r="AI39" s="179" t="str">
        <f t="shared" si="8"/>
        <v> </v>
      </c>
    </row>
    <row r="40" spans="1:35" ht="12.75">
      <c r="A40" s="186"/>
      <c r="B40" s="187"/>
      <c r="C40" s="187"/>
      <c r="D40" s="232"/>
      <c r="E40" s="186"/>
      <c r="F40" s="232"/>
      <c r="G40" s="186"/>
      <c r="H40" s="232"/>
      <c r="L40" t="s">
        <v>162</v>
      </c>
      <c r="M40" t="s">
        <v>76</v>
      </c>
      <c r="N40" t="s">
        <v>76</v>
      </c>
      <c r="O40" t="s">
        <v>76</v>
      </c>
      <c r="P40" t="s">
        <v>76</v>
      </c>
      <c r="Q40" t="s">
        <v>76</v>
      </c>
      <c r="R40" t="s">
        <v>76</v>
      </c>
      <c r="AB40" s="179" t="str">
        <f t="shared" si="1"/>
        <v> </v>
      </c>
      <c r="AC40" s="179" t="str">
        <f t="shared" si="2"/>
        <v> </v>
      </c>
      <c r="AD40" s="179" t="str">
        <f t="shared" si="3"/>
        <v> </v>
      </c>
      <c r="AE40" s="179" t="str">
        <f t="shared" si="4"/>
        <v> </v>
      </c>
      <c r="AF40" s="179" t="str">
        <f t="shared" si="5"/>
        <v> </v>
      </c>
      <c r="AG40" s="179" t="str">
        <f t="shared" si="6"/>
        <v> </v>
      </c>
      <c r="AH40" s="179" t="str">
        <f t="shared" si="7"/>
        <v> </v>
      </c>
      <c r="AI40" s="179" t="str">
        <f t="shared" si="8"/>
        <v> </v>
      </c>
    </row>
    <row r="41" spans="1:35" ht="12.75">
      <c r="A41" s="186"/>
      <c r="B41" s="187"/>
      <c r="C41" s="187"/>
      <c r="D41" s="232"/>
      <c r="E41" s="186"/>
      <c r="F41" s="232"/>
      <c r="G41" s="186"/>
      <c r="H41" s="232"/>
      <c r="L41" t="s">
        <v>163</v>
      </c>
      <c r="M41" t="s">
        <v>76</v>
      </c>
      <c r="N41" t="s">
        <v>76</v>
      </c>
      <c r="O41" t="s">
        <v>76</v>
      </c>
      <c r="P41" t="s">
        <v>76</v>
      </c>
      <c r="Q41" t="s">
        <v>76</v>
      </c>
      <c r="R41" t="s">
        <v>76</v>
      </c>
      <c r="AB41" s="179" t="str">
        <f t="shared" si="1"/>
        <v> </v>
      </c>
      <c r="AC41" s="179" t="str">
        <f t="shared" si="2"/>
        <v> </v>
      </c>
      <c r="AD41" s="179" t="str">
        <f t="shared" si="3"/>
        <v> </v>
      </c>
      <c r="AE41" s="179" t="str">
        <f t="shared" si="4"/>
        <v> </v>
      </c>
      <c r="AF41" s="179" t="str">
        <f t="shared" si="5"/>
        <v> </v>
      </c>
      <c r="AG41" s="179" t="str">
        <f t="shared" si="6"/>
        <v> </v>
      </c>
      <c r="AH41" s="179" t="str">
        <f t="shared" si="7"/>
        <v> </v>
      </c>
      <c r="AI41" s="179" t="str">
        <f t="shared" si="8"/>
        <v> </v>
      </c>
    </row>
    <row r="42" spans="1:35" ht="12.75">
      <c r="A42" s="186"/>
      <c r="B42" s="187"/>
      <c r="C42" s="187"/>
      <c r="D42" s="232"/>
      <c r="E42" s="186"/>
      <c r="F42" s="232"/>
      <c r="G42" s="186"/>
      <c r="H42" s="232"/>
      <c r="AB42" s="179" t="str">
        <f t="shared" si="1"/>
        <v> </v>
      </c>
      <c r="AC42" s="179" t="str">
        <f t="shared" si="2"/>
        <v> </v>
      </c>
      <c r="AD42" s="179" t="str">
        <f t="shared" si="3"/>
        <v> </v>
      </c>
      <c r="AE42" s="179" t="str">
        <f t="shared" si="4"/>
        <v> </v>
      </c>
      <c r="AF42" s="179" t="str">
        <f t="shared" si="5"/>
        <v> </v>
      </c>
      <c r="AG42" s="179" t="str">
        <f t="shared" si="6"/>
        <v> </v>
      </c>
      <c r="AH42" s="179" t="str">
        <f t="shared" si="7"/>
        <v> </v>
      </c>
      <c r="AI42" s="179" t="str">
        <f t="shared" si="8"/>
        <v> </v>
      </c>
    </row>
    <row r="43" spans="1:35" ht="12.75">
      <c r="A43" s="186"/>
      <c r="B43" s="187"/>
      <c r="C43" s="187"/>
      <c r="D43" s="232"/>
      <c r="E43" s="186"/>
      <c r="F43" s="232"/>
      <c r="G43" s="186"/>
      <c r="H43" s="232"/>
      <c r="L43" t="s">
        <v>166</v>
      </c>
      <c r="AB43" s="179" t="str">
        <f t="shared" si="1"/>
        <v> </v>
      </c>
      <c r="AC43" s="179" t="str">
        <f t="shared" si="2"/>
        <v> </v>
      </c>
      <c r="AD43" s="179" t="str">
        <f t="shared" si="3"/>
        <v> </v>
      </c>
      <c r="AE43" s="179" t="str">
        <f t="shared" si="4"/>
        <v> </v>
      </c>
      <c r="AF43" s="179" t="str">
        <f t="shared" si="5"/>
        <v> </v>
      </c>
      <c r="AG43" s="179" t="str">
        <f t="shared" si="6"/>
        <v> </v>
      </c>
      <c r="AH43" s="179" t="str">
        <f t="shared" si="7"/>
        <v> </v>
      </c>
      <c r="AI43" s="179" t="str">
        <f t="shared" si="8"/>
        <v> </v>
      </c>
    </row>
    <row r="44" spans="1:35" ht="12.75">
      <c r="A44" s="186"/>
      <c r="B44" s="187"/>
      <c r="C44" s="187"/>
      <c r="D44" s="232"/>
      <c r="E44" s="186"/>
      <c r="F44" s="232"/>
      <c r="G44" s="186"/>
      <c r="H44" s="232"/>
      <c r="L44" s="172"/>
      <c r="M44" s="171" t="s">
        <v>168</v>
      </c>
      <c r="N44" s="171" t="s">
        <v>86</v>
      </c>
      <c r="O44" s="172"/>
      <c r="P44" s="183" t="s">
        <v>172</v>
      </c>
      <c r="Q44" s="172"/>
      <c r="R44" s="171" t="s">
        <v>171</v>
      </c>
      <c r="AB44" s="179" t="str">
        <f t="shared" si="1"/>
        <v> </v>
      </c>
      <c r="AC44" s="179" t="str">
        <f t="shared" si="2"/>
        <v> </v>
      </c>
      <c r="AD44" s="179" t="str">
        <f t="shared" si="3"/>
        <v> </v>
      </c>
      <c r="AE44" s="179" t="str">
        <f t="shared" si="4"/>
        <v> </v>
      </c>
      <c r="AF44" s="179" t="str">
        <f t="shared" si="5"/>
        <v> </v>
      </c>
      <c r="AG44" s="179" t="str">
        <f t="shared" si="6"/>
        <v> </v>
      </c>
      <c r="AH44" s="179" t="str">
        <f t="shared" si="7"/>
        <v> </v>
      </c>
      <c r="AI44" s="179" t="str">
        <f t="shared" si="8"/>
        <v> </v>
      </c>
    </row>
    <row r="45" spans="1:35" ht="12.75">
      <c r="A45" s="186"/>
      <c r="B45" s="187"/>
      <c r="C45" s="187"/>
      <c r="D45" s="232"/>
      <c r="E45" s="186"/>
      <c r="F45" s="232"/>
      <c r="G45" s="186"/>
      <c r="H45" s="232"/>
      <c r="M45" s="170" t="s">
        <v>169</v>
      </c>
      <c r="N45">
        <v>3</v>
      </c>
      <c r="P45">
        <v>1636.5</v>
      </c>
      <c r="R45">
        <v>545.5</v>
      </c>
      <c r="AB45" s="179" t="str">
        <f t="shared" si="1"/>
        <v> </v>
      </c>
      <c r="AC45" s="179" t="str">
        <f t="shared" si="2"/>
        <v> </v>
      </c>
      <c r="AD45" s="179" t="str">
        <f t="shared" si="3"/>
        <v> </v>
      </c>
      <c r="AE45" s="179" t="str">
        <f t="shared" si="4"/>
        <v> </v>
      </c>
      <c r="AF45" s="179" t="str">
        <f t="shared" si="5"/>
        <v> </v>
      </c>
      <c r="AG45" s="179" t="str">
        <f t="shared" si="6"/>
        <v> </v>
      </c>
      <c r="AH45" s="179" t="str">
        <f t="shared" si="7"/>
        <v> </v>
      </c>
      <c r="AI45" s="179" t="str">
        <f t="shared" si="8"/>
        <v> </v>
      </c>
    </row>
    <row r="46" spans="1:35" ht="12.75">
      <c r="A46" s="186"/>
      <c r="B46" s="187"/>
      <c r="C46" s="187"/>
      <c r="D46" s="232"/>
      <c r="E46" s="186"/>
      <c r="F46" s="232"/>
      <c r="G46" s="186"/>
      <c r="H46" s="232"/>
      <c r="M46" s="170" t="s">
        <v>170</v>
      </c>
      <c r="N46">
        <v>20</v>
      </c>
      <c r="P46">
        <v>2018</v>
      </c>
      <c r="R46">
        <v>100.9</v>
      </c>
      <c r="AB46" s="179" t="str">
        <f t="shared" si="1"/>
        <v> </v>
      </c>
      <c r="AC46" s="179" t="str">
        <f t="shared" si="2"/>
        <v> </v>
      </c>
      <c r="AD46" s="179" t="str">
        <f t="shared" si="3"/>
        <v> </v>
      </c>
      <c r="AE46" s="179" t="str">
        <f t="shared" si="4"/>
        <v> </v>
      </c>
      <c r="AF46" s="179" t="str">
        <f t="shared" si="5"/>
        <v> </v>
      </c>
      <c r="AG46" s="179" t="str">
        <f t="shared" si="6"/>
        <v> </v>
      </c>
      <c r="AH46" s="179" t="str">
        <f t="shared" si="7"/>
        <v> </v>
      </c>
      <c r="AI46" s="179" t="str">
        <f t="shared" si="8"/>
        <v> </v>
      </c>
    </row>
    <row r="47" spans="1:35" ht="12.75">
      <c r="A47" s="186"/>
      <c r="B47" s="187"/>
      <c r="C47" s="187"/>
      <c r="D47" s="232"/>
      <c r="E47" s="186"/>
      <c r="F47" s="232"/>
      <c r="G47" s="186"/>
      <c r="H47" s="232"/>
      <c r="L47" s="172"/>
      <c r="M47" s="171" t="s">
        <v>23</v>
      </c>
      <c r="N47" s="172">
        <v>23</v>
      </c>
      <c r="O47" s="172"/>
      <c r="P47" s="172">
        <v>3654.5</v>
      </c>
      <c r="Q47" s="172"/>
      <c r="R47" s="172"/>
      <c r="AB47" s="179" t="str">
        <f t="shared" si="1"/>
        <v> </v>
      </c>
      <c r="AC47" s="179" t="str">
        <f t="shared" si="2"/>
        <v> </v>
      </c>
      <c r="AD47" s="179" t="str">
        <f t="shared" si="3"/>
        <v> </v>
      </c>
      <c r="AE47" s="179" t="str">
        <f t="shared" si="4"/>
        <v> </v>
      </c>
      <c r="AF47" s="179" t="str">
        <f t="shared" si="5"/>
        <v> </v>
      </c>
      <c r="AG47" s="179" t="str">
        <f t="shared" si="6"/>
        <v> </v>
      </c>
      <c r="AH47" s="179" t="str">
        <f t="shared" si="7"/>
        <v> </v>
      </c>
      <c r="AI47" s="179" t="str">
        <f t="shared" si="8"/>
        <v> </v>
      </c>
    </row>
    <row r="48" spans="1:35" ht="12.75">
      <c r="A48" s="186"/>
      <c r="B48" s="187"/>
      <c r="C48" s="187"/>
      <c r="D48" s="232"/>
      <c r="E48" s="186"/>
      <c r="F48" s="232"/>
      <c r="G48" s="186"/>
      <c r="H48" s="232"/>
      <c r="AB48" s="179" t="str">
        <f t="shared" si="1"/>
        <v> </v>
      </c>
      <c r="AC48" s="179" t="str">
        <f t="shared" si="2"/>
        <v> </v>
      </c>
      <c r="AD48" s="179" t="str">
        <f t="shared" si="3"/>
        <v> </v>
      </c>
      <c r="AE48" s="179" t="str">
        <f t="shared" si="4"/>
        <v> </v>
      </c>
      <c r="AF48" s="179" t="str">
        <f t="shared" si="5"/>
        <v> </v>
      </c>
      <c r="AG48" s="179" t="str">
        <f t="shared" si="6"/>
        <v> </v>
      </c>
      <c r="AH48" s="179" t="str">
        <f t="shared" si="7"/>
        <v> </v>
      </c>
      <c r="AI48" s="179" t="str">
        <f t="shared" si="8"/>
        <v> </v>
      </c>
    </row>
    <row r="49" spans="1:35" ht="12.75">
      <c r="A49" s="186"/>
      <c r="B49" s="187"/>
      <c r="C49" s="187"/>
      <c r="D49" s="232"/>
      <c r="E49" s="186"/>
      <c r="F49" s="232"/>
      <c r="G49" s="186"/>
      <c r="H49" s="232"/>
      <c r="M49" s="170" t="s">
        <v>173</v>
      </c>
      <c r="N49">
        <v>5.406342913776015</v>
      </c>
      <c r="P49" s="170" t="s">
        <v>174</v>
      </c>
      <c r="Q49">
        <v>0.0068759477562197165</v>
      </c>
      <c r="AB49" s="179" t="str">
        <f t="shared" si="1"/>
        <v> </v>
      </c>
      <c r="AC49" s="179" t="str">
        <f t="shared" si="2"/>
        <v> </v>
      </c>
      <c r="AD49" s="179" t="str">
        <f t="shared" si="3"/>
        <v> </v>
      </c>
      <c r="AE49" s="179" t="str">
        <f t="shared" si="4"/>
        <v> </v>
      </c>
      <c r="AF49" s="179" t="str">
        <f t="shared" si="5"/>
        <v> </v>
      </c>
      <c r="AG49" s="179" t="str">
        <f t="shared" si="6"/>
        <v> </v>
      </c>
      <c r="AH49" s="179" t="str">
        <f t="shared" si="7"/>
        <v> </v>
      </c>
      <c r="AI49" s="179" t="str">
        <f t="shared" si="8"/>
        <v> </v>
      </c>
    </row>
    <row r="50" spans="1:35" ht="12.75">
      <c r="A50" s="186"/>
      <c r="B50" s="187"/>
      <c r="C50" s="187"/>
      <c r="D50" s="232"/>
      <c r="E50" s="186"/>
      <c r="F50" s="232"/>
      <c r="G50" s="186"/>
      <c r="H50" s="232"/>
      <c r="Q50" s="170" t="s">
        <v>175</v>
      </c>
      <c r="R50">
        <v>12.097383485753411</v>
      </c>
      <c r="AB50" s="179" t="str">
        <f t="shared" si="1"/>
        <v> </v>
      </c>
      <c r="AC50" s="179" t="str">
        <f t="shared" si="2"/>
        <v> </v>
      </c>
      <c r="AD50" s="179" t="str">
        <f t="shared" si="3"/>
        <v> </v>
      </c>
      <c r="AE50" s="179" t="str">
        <f t="shared" si="4"/>
        <v> </v>
      </c>
      <c r="AF50" s="179" t="str">
        <f t="shared" si="5"/>
        <v> </v>
      </c>
      <c r="AG50" s="179" t="str">
        <f t="shared" si="6"/>
        <v> </v>
      </c>
      <c r="AH50" s="179" t="str">
        <f t="shared" si="7"/>
        <v> </v>
      </c>
      <c r="AI50" s="179" t="str">
        <f t="shared" si="8"/>
        <v> </v>
      </c>
    </row>
    <row r="51" spans="1:35" ht="12.75">
      <c r="A51" s="186"/>
      <c r="B51" s="187"/>
      <c r="C51" s="187"/>
      <c r="D51" s="232"/>
      <c r="E51" s="186"/>
      <c r="F51" s="232"/>
      <c r="G51" s="186"/>
      <c r="H51" s="232"/>
      <c r="AB51" s="179" t="str">
        <f t="shared" si="1"/>
        <v> </v>
      </c>
      <c r="AC51" s="179" t="str">
        <f t="shared" si="2"/>
        <v> </v>
      </c>
      <c r="AD51" s="179" t="str">
        <f t="shared" si="3"/>
        <v> </v>
      </c>
      <c r="AE51" s="179" t="str">
        <f t="shared" si="4"/>
        <v> </v>
      </c>
      <c r="AF51" s="179" t="str">
        <f t="shared" si="5"/>
        <v> </v>
      </c>
      <c r="AG51" s="179" t="str">
        <f t="shared" si="6"/>
        <v> </v>
      </c>
      <c r="AH51" s="179" t="str">
        <f t="shared" si="7"/>
        <v> </v>
      </c>
      <c r="AI51" s="179" t="str">
        <f t="shared" si="8"/>
        <v> </v>
      </c>
    </row>
    <row r="52" spans="1:35" ht="12.75">
      <c r="A52" s="186"/>
      <c r="B52" s="187"/>
      <c r="C52" s="187"/>
      <c r="D52" s="232"/>
      <c r="E52" s="186"/>
      <c r="F52" s="232"/>
      <c r="G52" s="186"/>
      <c r="H52" s="232"/>
      <c r="L52" t="s">
        <v>185</v>
      </c>
      <c r="AB52" s="179" t="str">
        <f t="shared" si="1"/>
        <v> </v>
      </c>
      <c r="AC52" s="179" t="str">
        <f t="shared" si="2"/>
        <v> </v>
      </c>
      <c r="AD52" s="179" t="str">
        <f t="shared" si="3"/>
        <v> </v>
      </c>
      <c r="AE52" s="179" t="str">
        <f t="shared" si="4"/>
        <v> </v>
      </c>
      <c r="AF52" s="179" t="str">
        <f t="shared" si="5"/>
        <v> </v>
      </c>
      <c r="AG52" s="179" t="str">
        <f t="shared" si="6"/>
        <v> </v>
      </c>
      <c r="AH52" s="179" t="str">
        <f t="shared" si="7"/>
        <v> </v>
      </c>
      <c r="AI52" s="179" t="str">
        <f t="shared" si="8"/>
        <v> </v>
      </c>
    </row>
    <row r="53" spans="1:35" ht="12.75">
      <c r="A53" s="186"/>
      <c r="B53" s="187"/>
      <c r="C53" s="187"/>
      <c r="D53" s="232"/>
      <c r="E53" s="186"/>
      <c r="F53" s="232"/>
      <c r="G53" s="186"/>
      <c r="H53" s="232"/>
      <c r="P53" s="170" t="s">
        <v>186</v>
      </c>
      <c r="Q53" t="s">
        <v>201</v>
      </c>
      <c r="AB53" s="179" t="str">
        <f t="shared" si="1"/>
        <v> </v>
      </c>
      <c r="AC53" s="179" t="str">
        <f t="shared" si="2"/>
        <v> </v>
      </c>
      <c r="AD53" s="179" t="str">
        <f t="shared" si="3"/>
        <v> </v>
      </c>
      <c r="AE53" s="179" t="str">
        <f t="shared" si="4"/>
        <v> </v>
      </c>
      <c r="AF53" s="179" t="str">
        <f t="shared" si="5"/>
        <v> </v>
      </c>
      <c r="AG53" s="179" t="str">
        <f t="shared" si="6"/>
        <v> </v>
      </c>
      <c r="AH53" s="179" t="str">
        <f t="shared" si="7"/>
        <v> </v>
      </c>
      <c r="AI53" s="179" t="str">
        <f t="shared" si="8"/>
        <v> </v>
      </c>
    </row>
    <row r="54" spans="1:35" ht="12.75">
      <c r="A54" s="186"/>
      <c r="B54" s="187"/>
      <c r="C54" s="187"/>
      <c r="D54" s="232"/>
      <c r="E54" s="186"/>
      <c r="F54" s="232"/>
      <c r="G54" s="186"/>
      <c r="H54" s="232"/>
      <c r="N54" s="170" t="s">
        <v>173</v>
      </c>
      <c r="O54">
        <v>0.36125503742084086</v>
      </c>
      <c r="AB54" s="179" t="str">
        <f t="shared" si="1"/>
        <v> </v>
      </c>
      <c r="AC54" s="179" t="str">
        <f t="shared" si="2"/>
        <v> </v>
      </c>
      <c r="AD54" s="179" t="str">
        <f t="shared" si="3"/>
        <v> </v>
      </c>
      <c r="AE54" s="179" t="str">
        <f t="shared" si="4"/>
        <v> </v>
      </c>
      <c r="AF54" s="179" t="str">
        <f t="shared" si="5"/>
        <v> </v>
      </c>
      <c r="AG54" s="179" t="str">
        <f t="shared" si="6"/>
        <v> </v>
      </c>
      <c r="AH54" s="179" t="str">
        <f t="shared" si="7"/>
        <v> </v>
      </c>
      <c r="AI54" s="179" t="str">
        <f t="shared" si="8"/>
        <v> </v>
      </c>
    </row>
    <row r="55" spans="1:35" ht="12.75">
      <c r="A55" s="186"/>
      <c r="B55" s="187"/>
      <c r="C55" s="187"/>
      <c r="D55" s="232"/>
      <c r="E55" s="186"/>
      <c r="F55" s="232"/>
      <c r="G55" s="186"/>
      <c r="H55" s="232"/>
      <c r="N55" s="170" t="s">
        <v>174</v>
      </c>
      <c r="O55">
        <v>0.7816253290434059</v>
      </c>
      <c r="AB55" s="179" t="str">
        <f t="shared" si="1"/>
        <v> </v>
      </c>
      <c r="AC55" s="179" t="str">
        <f t="shared" si="2"/>
        <v> </v>
      </c>
      <c r="AD55" s="179" t="str">
        <f t="shared" si="3"/>
        <v> </v>
      </c>
      <c r="AE55" s="179" t="str">
        <f t="shared" si="4"/>
        <v> </v>
      </c>
      <c r="AF55" s="179" t="str">
        <f t="shared" si="5"/>
        <v> </v>
      </c>
      <c r="AG55" s="179" t="str">
        <f t="shared" si="6"/>
        <v> </v>
      </c>
      <c r="AH55" s="179" t="str">
        <f t="shared" si="7"/>
        <v> </v>
      </c>
      <c r="AI55" s="179" t="str">
        <f t="shared" si="8"/>
        <v> </v>
      </c>
    </row>
    <row r="56" spans="1:35" ht="12.75">
      <c r="A56" s="186"/>
      <c r="B56" s="187"/>
      <c r="C56" s="187"/>
      <c r="D56" s="232"/>
      <c r="E56" s="186"/>
      <c r="F56" s="232"/>
      <c r="G56" s="186"/>
      <c r="H56" s="232"/>
      <c r="AB56" s="179" t="str">
        <f t="shared" si="1"/>
        <v> </v>
      </c>
      <c r="AC56" s="179" t="str">
        <f t="shared" si="2"/>
        <v> </v>
      </c>
      <c r="AD56" s="179" t="str">
        <f t="shared" si="3"/>
        <v> </v>
      </c>
      <c r="AE56" s="179" t="str">
        <f t="shared" si="4"/>
        <v> </v>
      </c>
      <c r="AF56" s="179" t="str">
        <f t="shared" si="5"/>
        <v> </v>
      </c>
      <c r="AG56" s="179" t="str">
        <f t="shared" si="6"/>
        <v> </v>
      </c>
      <c r="AH56" s="179" t="str">
        <f t="shared" si="7"/>
        <v> </v>
      </c>
      <c r="AI56" s="179" t="str">
        <f t="shared" si="8"/>
        <v> </v>
      </c>
    </row>
    <row r="57" spans="1:35" ht="12.75">
      <c r="A57" s="186"/>
      <c r="B57" s="187"/>
      <c r="C57" s="187"/>
      <c r="D57" s="232"/>
      <c r="E57" s="186"/>
      <c r="F57" s="232"/>
      <c r="G57" s="186"/>
      <c r="H57" s="232"/>
      <c r="AB57" s="179" t="str">
        <f t="shared" si="1"/>
        <v> </v>
      </c>
      <c r="AC57" s="179" t="str">
        <f t="shared" si="2"/>
        <v> </v>
      </c>
      <c r="AD57" s="179" t="str">
        <f t="shared" si="3"/>
        <v> </v>
      </c>
      <c r="AE57" s="179" t="str">
        <f t="shared" si="4"/>
        <v> </v>
      </c>
      <c r="AF57" s="179" t="str">
        <f t="shared" si="5"/>
        <v> </v>
      </c>
      <c r="AG57" s="179" t="str">
        <f t="shared" si="6"/>
        <v> </v>
      </c>
      <c r="AH57" s="179" t="str">
        <f t="shared" si="7"/>
        <v> </v>
      </c>
      <c r="AI57" s="179" t="str">
        <f t="shared" si="8"/>
        <v> </v>
      </c>
    </row>
    <row r="58" spans="1:35" ht="12.75">
      <c r="A58" s="186"/>
      <c r="B58" s="187"/>
      <c r="C58" s="187"/>
      <c r="D58" s="232"/>
      <c r="E58" s="186"/>
      <c r="F58" s="232"/>
      <c r="G58" s="186"/>
      <c r="H58" s="232"/>
      <c r="AB58" s="179" t="str">
        <f t="shared" si="1"/>
        <v> </v>
      </c>
      <c r="AC58" s="179" t="str">
        <f t="shared" si="2"/>
        <v> </v>
      </c>
      <c r="AD58" s="179" t="str">
        <f t="shared" si="3"/>
        <v> </v>
      </c>
      <c r="AE58" s="179" t="str">
        <f t="shared" si="4"/>
        <v> </v>
      </c>
      <c r="AF58" s="179" t="str">
        <f t="shared" si="5"/>
        <v> </v>
      </c>
      <c r="AG58" s="179" t="str">
        <f t="shared" si="6"/>
        <v> </v>
      </c>
      <c r="AH58" s="179" t="str">
        <f t="shared" si="7"/>
        <v> </v>
      </c>
      <c r="AI58" s="179" t="str">
        <f t="shared" si="8"/>
        <v> </v>
      </c>
    </row>
    <row r="59" spans="1:35" ht="12.75">
      <c r="A59" s="186"/>
      <c r="B59" s="187"/>
      <c r="C59" s="187"/>
      <c r="D59" s="232"/>
      <c r="E59" s="186"/>
      <c r="F59" s="232"/>
      <c r="G59" s="186"/>
      <c r="H59" s="232"/>
      <c r="AB59" s="179" t="str">
        <f t="shared" si="1"/>
        <v> </v>
      </c>
      <c r="AC59" s="179" t="str">
        <f t="shared" si="2"/>
        <v> </v>
      </c>
      <c r="AD59" s="179" t="str">
        <f t="shared" si="3"/>
        <v> </v>
      </c>
      <c r="AE59" s="179" t="str">
        <f t="shared" si="4"/>
        <v> </v>
      </c>
      <c r="AF59" s="179" t="str">
        <f t="shared" si="5"/>
        <v> </v>
      </c>
      <c r="AG59" s="179" t="str">
        <f t="shared" si="6"/>
        <v> </v>
      </c>
      <c r="AH59" s="179" t="str">
        <f t="shared" si="7"/>
        <v> </v>
      </c>
      <c r="AI59" s="179" t="str">
        <f t="shared" si="8"/>
        <v> </v>
      </c>
    </row>
    <row r="60" spans="1:35" ht="12.75">
      <c r="A60" s="186"/>
      <c r="B60" s="187"/>
      <c r="C60" s="187"/>
      <c r="D60" s="232"/>
      <c r="E60" s="186"/>
      <c r="F60" s="232"/>
      <c r="G60" s="186"/>
      <c r="H60" s="232"/>
      <c r="AB60" s="179" t="str">
        <f t="shared" si="1"/>
        <v> </v>
      </c>
      <c r="AC60" s="179" t="str">
        <f t="shared" si="2"/>
        <v> </v>
      </c>
      <c r="AD60" s="179" t="str">
        <f t="shared" si="3"/>
        <v> </v>
      </c>
      <c r="AE60" s="179" t="str">
        <f t="shared" si="4"/>
        <v> </v>
      </c>
      <c r="AF60" s="179" t="str">
        <f t="shared" si="5"/>
        <v> </v>
      </c>
      <c r="AG60" s="179" t="str">
        <f t="shared" si="6"/>
        <v> </v>
      </c>
      <c r="AH60" s="179" t="str">
        <f t="shared" si="7"/>
        <v> </v>
      </c>
      <c r="AI60" s="179" t="str">
        <f t="shared" si="8"/>
        <v> </v>
      </c>
    </row>
    <row r="61" spans="1:35" ht="12.75">
      <c r="A61" s="186"/>
      <c r="B61" s="187"/>
      <c r="C61" s="187"/>
      <c r="D61" s="232"/>
      <c r="E61" s="186"/>
      <c r="F61" s="232"/>
      <c r="G61" s="186"/>
      <c r="H61" s="232"/>
      <c r="AB61" s="179" t="str">
        <f t="shared" si="1"/>
        <v> </v>
      </c>
      <c r="AC61" s="179" t="str">
        <f t="shared" si="2"/>
        <v> </v>
      </c>
      <c r="AD61" s="179" t="str">
        <f t="shared" si="3"/>
        <v> </v>
      </c>
      <c r="AE61" s="179" t="str">
        <f t="shared" si="4"/>
        <v> </v>
      </c>
      <c r="AF61" s="179" t="str">
        <f t="shared" si="5"/>
        <v> </v>
      </c>
      <c r="AG61" s="179" t="str">
        <f t="shared" si="6"/>
        <v> </v>
      </c>
      <c r="AH61" s="179" t="str">
        <f t="shared" si="7"/>
        <v> </v>
      </c>
      <c r="AI61" s="179" t="str">
        <f t="shared" si="8"/>
        <v> </v>
      </c>
    </row>
    <row r="62" spans="1:35" ht="12.75">
      <c r="A62" s="186"/>
      <c r="B62" s="187"/>
      <c r="C62" s="187"/>
      <c r="D62" s="232"/>
      <c r="E62" s="186"/>
      <c r="F62" s="232"/>
      <c r="G62" s="186"/>
      <c r="H62" s="232"/>
      <c r="AB62" s="179" t="str">
        <f t="shared" si="1"/>
        <v> </v>
      </c>
      <c r="AC62" s="179" t="str">
        <f t="shared" si="2"/>
        <v> </v>
      </c>
      <c r="AD62" s="179" t="str">
        <f t="shared" si="3"/>
        <v> </v>
      </c>
      <c r="AE62" s="179" t="str">
        <f t="shared" si="4"/>
        <v> </v>
      </c>
      <c r="AF62" s="179" t="str">
        <f t="shared" si="5"/>
        <v> </v>
      </c>
      <c r="AG62" s="179" t="str">
        <f t="shared" si="6"/>
        <v> </v>
      </c>
      <c r="AH62" s="179" t="str">
        <f t="shared" si="7"/>
        <v> </v>
      </c>
      <c r="AI62" s="179" t="str">
        <f t="shared" si="8"/>
        <v> </v>
      </c>
    </row>
    <row r="63" spans="1:35" ht="12.75">
      <c r="A63" s="186"/>
      <c r="B63" s="187"/>
      <c r="C63" s="187"/>
      <c r="D63" s="232"/>
      <c r="E63" s="186"/>
      <c r="F63" s="232"/>
      <c r="G63" s="186"/>
      <c r="H63" s="232"/>
      <c r="AB63" s="179" t="str">
        <f t="shared" si="1"/>
        <v> </v>
      </c>
      <c r="AC63" s="179" t="str">
        <f t="shared" si="2"/>
        <v> </v>
      </c>
      <c r="AD63" s="179" t="str">
        <f t="shared" si="3"/>
        <v> </v>
      </c>
      <c r="AE63" s="179" t="str">
        <f t="shared" si="4"/>
        <v> </v>
      </c>
      <c r="AF63" s="179" t="str">
        <f t="shared" si="5"/>
        <v> </v>
      </c>
      <c r="AG63" s="179" t="str">
        <f t="shared" si="6"/>
        <v> </v>
      </c>
      <c r="AH63" s="179" t="str">
        <f t="shared" si="7"/>
        <v> </v>
      </c>
      <c r="AI63" s="179" t="str">
        <f t="shared" si="8"/>
        <v> </v>
      </c>
    </row>
    <row r="64" spans="1:35" ht="12.75">
      <c r="A64" s="186"/>
      <c r="B64" s="187"/>
      <c r="C64" s="187"/>
      <c r="D64" s="232"/>
      <c r="E64" s="186"/>
      <c r="F64" s="232"/>
      <c r="G64" s="186"/>
      <c r="H64" s="232"/>
      <c r="AB64" s="179" t="str">
        <f t="shared" si="1"/>
        <v> </v>
      </c>
      <c r="AC64" s="179" t="str">
        <f t="shared" si="2"/>
        <v> </v>
      </c>
      <c r="AD64" s="179" t="str">
        <f t="shared" si="3"/>
        <v> </v>
      </c>
      <c r="AE64" s="179" t="str">
        <f t="shared" si="4"/>
        <v> </v>
      </c>
      <c r="AF64" s="179" t="str">
        <f t="shared" si="5"/>
        <v> </v>
      </c>
      <c r="AG64" s="179" t="str">
        <f t="shared" si="6"/>
        <v> </v>
      </c>
      <c r="AH64" s="179" t="str">
        <f t="shared" si="7"/>
        <v> </v>
      </c>
      <c r="AI64" s="179" t="str">
        <f t="shared" si="8"/>
        <v> </v>
      </c>
    </row>
    <row r="65" spans="1:35" ht="12.75">
      <c r="A65" s="186"/>
      <c r="B65" s="187"/>
      <c r="C65" s="187"/>
      <c r="D65" s="232"/>
      <c r="E65" s="186"/>
      <c r="F65" s="232"/>
      <c r="G65" s="186"/>
      <c r="H65" s="232"/>
      <c r="AB65" s="179" t="str">
        <f t="shared" si="1"/>
        <v> </v>
      </c>
      <c r="AC65" s="179" t="str">
        <f t="shared" si="2"/>
        <v> </v>
      </c>
      <c r="AD65" s="179" t="str">
        <f t="shared" si="3"/>
        <v> </v>
      </c>
      <c r="AE65" s="179" t="str">
        <f t="shared" si="4"/>
        <v> </v>
      </c>
      <c r="AF65" s="179" t="str">
        <f t="shared" si="5"/>
        <v> </v>
      </c>
      <c r="AG65" s="179" t="str">
        <f t="shared" si="6"/>
        <v> </v>
      </c>
      <c r="AH65" s="179" t="str">
        <f t="shared" si="7"/>
        <v> </v>
      </c>
      <c r="AI65" s="179" t="str">
        <f t="shared" si="8"/>
        <v> </v>
      </c>
    </row>
    <row r="66" spans="1:35" ht="12.75">
      <c r="A66" s="186"/>
      <c r="B66" s="187"/>
      <c r="C66" s="187"/>
      <c r="D66" s="232"/>
      <c r="E66" s="186"/>
      <c r="F66" s="232"/>
      <c r="G66" s="186"/>
      <c r="H66" s="232"/>
      <c r="AB66" s="179" t="str">
        <f t="shared" si="1"/>
        <v> </v>
      </c>
      <c r="AC66" s="179" t="str">
        <f t="shared" si="2"/>
        <v> </v>
      </c>
      <c r="AD66" s="179" t="str">
        <f t="shared" si="3"/>
        <v> </v>
      </c>
      <c r="AE66" s="179" t="str">
        <f t="shared" si="4"/>
        <v> </v>
      </c>
      <c r="AF66" s="179" t="str">
        <f t="shared" si="5"/>
        <v> </v>
      </c>
      <c r="AG66" s="179" t="str">
        <f t="shared" si="6"/>
        <v> </v>
      </c>
      <c r="AH66" s="179" t="str">
        <f t="shared" si="7"/>
        <v> </v>
      </c>
      <c r="AI66" s="179" t="str">
        <f t="shared" si="8"/>
        <v> </v>
      </c>
    </row>
    <row r="67" spans="1:35" ht="12.75">
      <c r="A67" s="186"/>
      <c r="B67" s="187"/>
      <c r="C67" s="187"/>
      <c r="D67" s="232"/>
      <c r="E67" s="186"/>
      <c r="F67" s="232"/>
      <c r="G67" s="186"/>
      <c r="H67" s="232"/>
      <c r="AB67" s="179" t="str">
        <f t="shared" si="1"/>
        <v> </v>
      </c>
      <c r="AC67" s="179" t="str">
        <f t="shared" si="2"/>
        <v> </v>
      </c>
      <c r="AD67" s="179" t="str">
        <f t="shared" si="3"/>
        <v> </v>
      </c>
      <c r="AE67" s="179" t="str">
        <f t="shared" si="4"/>
        <v> </v>
      </c>
      <c r="AF67" s="179" t="str">
        <f t="shared" si="5"/>
        <v> </v>
      </c>
      <c r="AG67" s="179" t="str">
        <f t="shared" si="6"/>
        <v> </v>
      </c>
      <c r="AH67" s="179" t="str">
        <f t="shared" si="7"/>
        <v> </v>
      </c>
      <c r="AI67" s="179" t="str">
        <f t="shared" si="8"/>
        <v> </v>
      </c>
    </row>
    <row r="68" spans="1:35" ht="12.75">
      <c r="A68" s="186"/>
      <c r="B68" s="187"/>
      <c r="C68" s="187"/>
      <c r="D68" s="232"/>
      <c r="E68" s="186"/>
      <c r="F68" s="232"/>
      <c r="G68" s="186"/>
      <c r="H68" s="232"/>
      <c r="AB68" s="179" t="str">
        <f t="shared" si="1"/>
        <v> </v>
      </c>
      <c r="AC68" s="179" t="str">
        <f t="shared" si="2"/>
        <v> </v>
      </c>
      <c r="AD68" s="179" t="str">
        <f t="shared" si="3"/>
        <v> </v>
      </c>
      <c r="AE68" s="179" t="str">
        <f t="shared" si="4"/>
        <v> </v>
      </c>
      <c r="AF68" s="179" t="str">
        <f t="shared" si="5"/>
        <v> </v>
      </c>
      <c r="AG68" s="179" t="str">
        <f t="shared" si="6"/>
        <v> </v>
      </c>
      <c r="AH68" s="179" t="str">
        <f t="shared" si="7"/>
        <v> </v>
      </c>
      <c r="AI68" s="179" t="str">
        <f t="shared" si="8"/>
        <v> </v>
      </c>
    </row>
    <row r="69" spans="1:35" ht="12.75">
      <c r="A69" s="186"/>
      <c r="B69" s="187"/>
      <c r="C69" s="187"/>
      <c r="D69" s="232"/>
      <c r="E69" s="186"/>
      <c r="F69" s="232"/>
      <c r="G69" s="186"/>
      <c r="H69" s="232"/>
      <c r="AB69" s="179" t="str">
        <f t="shared" si="1"/>
        <v> </v>
      </c>
      <c r="AC69" s="179" t="str">
        <f t="shared" si="2"/>
        <v> </v>
      </c>
      <c r="AD69" s="179" t="str">
        <f t="shared" si="3"/>
        <v> </v>
      </c>
      <c r="AE69" s="179" t="str">
        <f t="shared" si="4"/>
        <v> </v>
      </c>
      <c r="AF69" s="179" t="str">
        <f t="shared" si="5"/>
        <v> </v>
      </c>
      <c r="AG69" s="179" t="str">
        <f t="shared" si="6"/>
        <v> </v>
      </c>
      <c r="AH69" s="179" t="str">
        <f t="shared" si="7"/>
        <v> </v>
      </c>
      <c r="AI69" s="179" t="str">
        <f t="shared" si="8"/>
        <v> </v>
      </c>
    </row>
    <row r="70" spans="1:35" ht="12.75">
      <c r="A70" s="186"/>
      <c r="B70" s="187"/>
      <c r="C70" s="187"/>
      <c r="D70" s="232"/>
      <c r="E70" s="186"/>
      <c r="F70" s="232"/>
      <c r="G70" s="186"/>
      <c r="H70" s="232"/>
      <c r="AB70" s="179" t="str">
        <f t="shared" si="1"/>
        <v> </v>
      </c>
      <c r="AC70" s="179" t="str">
        <f t="shared" si="2"/>
        <v> </v>
      </c>
      <c r="AD70" s="179" t="str">
        <f t="shared" si="3"/>
        <v> </v>
      </c>
      <c r="AE70" s="179" t="str">
        <f t="shared" si="4"/>
        <v> </v>
      </c>
      <c r="AF70" s="179" t="str">
        <f t="shared" si="5"/>
        <v> </v>
      </c>
      <c r="AG70" s="179" t="str">
        <f t="shared" si="6"/>
        <v> </v>
      </c>
      <c r="AH70" s="179" t="str">
        <f t="shared" si="7"/>
        <v> </v>
      </c>
      <c r="AI70" s="179" t="str">
        <f t="shared" si="8"/>
        <v> </v>
      </c>
    </row>
    <row r="71" spans="1:35" ht="12.75">
      <c r="A71" s="186"/>
      <c r="B71" s="187"/>
      <c r="C71" s="187"/>
      <c r="D71" s="232"/>
      <c r="E71" s="186"/>
      <c r="F71" s="232"/>
      <c r="G71" s="186"/>
      <c r="H71" s="232"/>
      <c r="AB71" s="179" t="str">
        <f t="shared" si="1"/>
        <v> </v>
      </c>
      <c r="AC71" s="179" t="str">
        <f t="shared" si="2"/>
        <v> </v>
      </c>
      <c r="AD71" s="179" t="str">
        <f t="shared" si="3"/>
        <v> </v>
      </c>
      <c r="AE71" s="179" t="str">
        <f t="shared" si="4"/>
        <v> </v>
      </c>
      <c r="AF71" s="179" t="str">
        <f t="shared" si="5"/>
        <v> </v>
      </c>
      <c r="AG71" s="179" t="str">
        <f t="shared" si="6"/>
        <v> </v>
      </c>
      <c r="AH71" s="179" t="str">
        <f t="shared" si="7"/>
        <v> </v>
      </c>
      <c r="AI71" s="179" t="str">
        <f t="shared" si="8"/>
        <v> </v>
      </c>
    </row>
    <row r="72" spans="1:35" ht="12.75">
      <c r="A72" s="186"/>
      <c r="B72" s="187"/>
      <c r="C72" s="187"/>
      <c r="D72" s="232"/>
      <c r="E72" s="186"/>
      <c r="F72" s="232"/>
      <c r="G72" s="186"/>
      <c r="H72" s="232"/>
      <c r="AB72" s="179" t="str">
        <f aca="true" t="shared" si="9" ref="AB72:AB105">IF(ISBLANK(A72)=TRUE," ",ABS(A72-AVERAGE(A$6:A$105)))</f>
        <v> </v>
      </c>
      <c r="AC72" s="179" t="str">
        <f t="shared" si="2"/>
        <v> </v>
      </c>
      <c r="AD72" s="179" t="str">
        <f t="shared" si="3"/>
        <v> </v>
      </c>
      <c r="AE72" s="179" t="str">
        <f t="shared" si="4"/>
        <v> </v>
      </c>
      <c r="AF72" s="179" t="str">
        <f t="shared" si="5"/>
        <v> </v>
      </c>
      <c r="AG72" s="179" t="str">
        <f t="shared" si="6"/>
        <v> </v>
      </c>
      <c r="AH72" s="179" t="str">
        <f t="shared" si="7"/>
        <v> </v>
      </c>
      <c r="AI72" s="179" t="str">
        <f t="shared" si="8"/>
        <v> </v>
      </c>
    </row>
    <row r="73" spans="1:35" ht="12.75">
      <c r="A73" s="186"/>
      <c r="B73" s="187"/>
      <c r="C73" s="187"/>
      <c r="D73" s="232"/>
      <c r="E73" s="186"/>
      <c r="F73" s="232"/>
      <c r="G73" s="186"/>
      <c r="H73" s="232"/>
      <c r="AB73" s="179" t="str">
        <f t="shared" si="9"/>
        <v> </v>
      </c>
      <c r="AC73" s="179" t="str">
        <f t="shared" si="2"/>
        <v> </v>
      </c>
      <c r="AD73" s="179" t="str">
        <f t="shared" si="3"/>
        <v> </v>
      </c>
      <c r="AE73" s="179" t="str">
        <f t="shared" si="4"/>
        <v> </v>
      </c>
      <c r="AF73" s="179" t="str">
        <f t="shared" si="5"/>
        <v> </v>
      </c>
      <c r="AG73" s="179" t="str">
        <f t="shared" si="6"/>
        <v> </v>
      </c>
      <c r="AH73" s="179" t="str">
        <f t="shared" si="7"/>
        <v> </v>
      </c>
      <c r="AI73" s="179" t="str">
        <f t="shared" si="8"/>
        <v> </v>
      </c>
    </row>
    <row r="74" spans="1:35" ht="12.75">
      <c r="A74" s="186"/>
      <c r="B74" s="187"/>
      <c r="C74" s="187"/>
      <c r="D74" s="232"/>
      <c r="E74" s="186"/>
      <c r="F74" s="232"/>
      <c r="G74" s="186"/>
      <c r="H74" s="232"/>
      <c r="AB74" s="179" t="str">
        <f t="shared" si="9"/>
        <v> </v>
      </c>
      <c r="AC74" s="179" t="str">
        <f t="shared" si="2"/>
        <v> </v>
      </c>
      <c r="AD74" s="179" t="str">
        <f t="shared" si="3"/>
        <v> </v>
      </c>
      <c r="AE74" s="179" t="str">
        <f t="shared" si="4"/>
        <v> </v>
      </c>
      <c r="AF74" s="179" t="str">
        <f t="shared" si="5"/>
        <v> </v>
      </c>
      <c r="AG74" s="179" t="str">
        <f t="shared" si="6"/>
        <v> </v>
      </c>
      <c r="AH74" s="179" t="str">
        <f t="shared" si="7"/>
        <v> </v>
      </c>
      <c r="AI74" s="179" t="str">
        <f t="shared" si="8"/>
        <v> </v>
      </c>
    </row>
    <row r="75" spans="1:35" ht="12.75">
      <c r="A75" s="186"/>
      <c r="B75" s="187"/>
      <c r="C75" s="187"/>
      <c r="D75" s="232"/>
      <c r="E75" s="186"/>
      <c r="F75" s="232"/>
      <c r="G75" s="186"/>
      <c r="H75" s="232"/>
      <c r="AB75" s="179" t="str">
        <f t="shared" si="9"/>
        <v> </v>
      </c>
      <c r="AC75" s="179" t="str">
        <f t="shared" si="2"/>
        <v> </v>
      </c>
      <c r="AD75" s="179" t="str">
        <f t="shared" si="3"/>
        <v> </v>
      </c>
      <c r="AE75" s="179" t="str">
        <f t="shared" si="4"/>
        <v> </v>
      </c>
      <c r="AF75" s="179" t="str">
        <f t="shared" si="5"/>
        <v> </v>
      </c>
      <c r="AG75" s="179" t="str">
        <f t="shared" si="6"/>
        <v> </v>
      </c>
      <c r="AH75" s="179" t="str">
        <f t="shared" si="7"/>
        <v> </v>
      </c>
      <c r="AI75" s="179" t="str">
        <f t="shared" si="8"/>
        <v> </v>
      </c>
    </row>
    <row r="76" spans="1:35" ht="12.75">
      <c r="A76" s="186"/>
      <c r="B76" s="187"/>
      <c r="C76" s="187"/>
      <c r="D76" s="232"/>
      <c r="E76" s="186"/>
      <c r="F76" s="232"/>
      <c r="G76" s="186"/>
      <c r="H76" s="232"/>
      <c r="AB76" s="179" t="str">
        <f t="shared" si="9"/>
        <v> </v>
      </c>
      <c r="AC76" s="179" t="str">
        <f t="shared" si="2"/>
        <v> </v>
      </c>
      <c r="AD76" s="179" t="str">
        <f t="shared" si="3"/>
        <v> </v>
      </c>
      <c r="AE76" s="179" t="str">
        <f t="shared" si="4"/>
        <v> </v>
      </c>
      <c r="AF76" s="179" t="str">
        <f t="shared" si="5"/>
        <v> </v>
      </c>
      <c r="AG76" s="179" t="str">
        <f t="shared" si="6"/>
        <v> </v>
      </c>
      <c r="AH76" s="179" t="str">
        <f t="shared" si="7"/>
        <v> </v>
      </c>
      <c r="AI76" s="179" t="str">
        <f t="shared" si="8"/>
        <v> </v>
      </c>
    </row>
    <row r="77" spans="1:35" ht="12.75">
      <c r="A77" s="186"/>
      <c r="B77" s="187"/>
      <c r="C77" s="187"/>
      <c r="D77" s="232"/>
      <c r="E77" s="186"/>
      <c r="F77" s="232"/>
      <c r="G77" s="186"/>
      <c r="H77" s="232"/>
      <c r="AB77" s="179" t="str">
        <f t="shared" si="9"/>
        <v> </v>
      </c>
      <c r="AC77" s="179" t="str">
        <f t="shared" si="2"/>
        <v> </v>
      </c>
      <c r="AD77" s="179" t="str">
        <f t="shared" si="3"/>
        <v> </v>
      </c>
      <c r="AE77" s="179" t="str">
        <f t="shared" si="4"/>
        <v> </v>
      </c>
      <c r="AF77" s="179" t="str">
        <f t="shared" si="5"/>
        <v> </v>
      </c>
      <c r="AG77" s="179" t="str">
        <f t="shared" si="6"/>
        <v> </v>
      </c>
      <c r="AH77" s="179" t="str">
        <f t="shared" si="7"/>
        <v> </v>
      </c>
      <c r="AI77" s="179" t="str">
        <f t="shared" si="8"/>
        <v> </v>
      </c>
    </row>
    <row r="78" spans="1:35" ht="12.75">
      <c r="A78" s="186"/>
      <c r="B78" s="187"/>
      <c r="C78" s="187"/>
      <c r="D78" s="232"/>
      <c r="E78" s="186"/>
      <c r="F78" s="232"/>
      <c r="G78" s="186"/>
      <c r="H78" s="232"/>
      <c r="AB78" s="179" t="str">
        <f t="shared" si="9"/>
        <v> </v>
      </c>
      <c r="AC78" s="179" t="str">
        <f t="shared" si="2"/>
        <v> </v>
      </c>
      <c r="AD78" s="179" t="str">
        <f t="shared" si="3"/>
        <v> </v>
      </c>
      <c r="AE78" s="179" t="str">
        <f t="shared" si="4"/>
        <v> </v>
      </c>
      <c r="AF78" s="179" t="str">
        <f t="shared" si="5"/>
        <v> </v>
      </c>
      <c r="AG78" s="179" t="str">
        <f t="shared" si="6"/>
        <v> </v>
      </c>
      <c r="AH78" s="179" t="str">
        <f t="shared" si="7"/>
        <v> </v>
      </c>
      <c r="AI78" s="179" t="str">
        <f t="shared" si="8"/>
        <v> </v>
      </c>
    </row>
    <row r="79" spans="1:35" ht="12.75">
      <c r="A79" s="186"/>
      <c r="B79" s="187"/>
      <c r="C79" s="187"/>
      <c r="D79" s="232"/>
      <c r="E79" s="186"/>
      <c r="F79" s="232"/>
      <c r="G79" s="186"/>
      <c r="H79" s="232"/>
      <c r="AB79" s="179" t="str">
        <f t="shared" si="9"/>
        <v> </v>
      </c>
      <c r="AC79" s="179" t="str">
        <f t="shared" si="2"/>
        <v> </v>
      </c>
      <c r="AD79" s="179" t="str">
        <f t="shared" si="3"/>
        <v> </v>
      </c>
      <c r="AE79" s="179" t="str">
        <f t="shared" si="4"/>
        <v> </v>
      </c>
      <c r="AF79" s="179" t="str">
        <f t="shared" si="5"/>
        <v> </v>
      </c>
      <c r="AG79" s="179" t="str">
        <f t="shared" si="6"/>
        <v> </v>
      </c>
      <c r="AH79" s="179" t="str">
        <f t="shared" si="7"/>
        <v> </v>
      </c>
      <c r="AI79" s="179" t="str">
        <f t="shared" si="8"/>
        <v> </v>
      </c>
    </row>
    <row r="80" spans="1:35" ht="12.75">
      <c r="A80" s="186"/>
      <c r="B80" s="187"/>
      <c r="C80" s="187"/>
      <c r="D80" s="232"/>
      <c r="E80" s="186"/>
      <c r="F80" s="232"/>
      <c r="G80" s="186"/>
      <c r="H80" s="232"/>
      <c r="AB80" s="179" t="str">
        <f t="shared" si="9"/>
        <v> </v>
      </c>
      <c r="AC80" s="179" t="str">
        <f t="shared" si="2"/>
        <v> </v>
      </c>
      <c r="AD80" s="179" t="str">
        <f t="shared" si="3"/>
        <v> </v>
      </c>
      <c r="AE80" s="179" t="str">
        <f t="shared" si="4"/>
        <v> </v>
      </c>
      <c r="AF80" s="179" t="str">
        <f t="shared" si="5"/>
        <v> </v>
      </c>
      <c r="AG80" s="179" t="str">
        <f t="shared" si="6"/>
        <v> </v>
      </c>
      <c r="AH80" s="179" t="str">
        <f t="shared" si="7"/>
        <v> </v>
      </c>
      <c r="AI80" s="179" t="str">
        <f t="shared" si="8"/>
        <v> </v>
      </c>
    </row>
    <row r="81" spans="1:35" ht="12.75">
      <c r="A81" s="186"/>
      <c r="B81" s="187"/>
      <c r="C81" s="187"/>
      <c r="D81" s="232"/>
      <c r="E81" s="186"/>
      <c r="F81" s="232"/>
      <c r="G81" s="186"/>
      <c r="H81" s="232"/>
      <c r="AB81" s="179" t="str">
        <f t="shared" si="9"/>
        <v> </v>
      </c>
      <c r="AC81" s="179" t="str">
        <f t="shared" si="2"/>
        <v> </v>
      </c>
      <c r="AD81" s="179" t="str">
        <f t="shared" si="3"/>
        <v> </v>
      </c>
      <c r="AE81" s="179" t="str">
        <f t="shared" si="4"/>
        <v> </v>
      </c>
      <c r="AF81" s="179" t="str">
        <f t="shared" si="5"/>
        <v> </v>
      </c>
      <c r="AG81" s="179" t="str">
        <f t="shared" si="6"/>
        <v> </v>
      </c>
      <c r="AH81" s="179" t="str">
        <f t="shared" si="7"/>
        <v> </v>
      </c>
      <c r="AI81" s="179" t="str">
        <f t="shared" si="8"/>
        <v> </v>
      </c>
    </row>
    <row r="82" spans="1:35" ht="12.75">
      <c r="A82" s="186"/>
      <c r="B82" s="187"/>
      <c r="C82" s="187"/>
      <c r="D82" s="232"/>
      <c r="E82" s="186"/>
      <c r="F82" s="232"/>
      <c r="G82" s="186"/>
      <c r="H82" s="232"/>
      <c r="AB82" s="179" t="str">
        <f t="shared" si="9"/>
        <v> </v>
      </c>
      <c r="AC82" s="179" t="str">
        <f t="shared" si="2"/>
        <v> </v>
      </c>
      <c r="AD82" s="179" t="str">
        <f t="shared" si="3"/>
        <v> </v>
      </c>
      <c r="AE82" s="179" t="str">
        <f t="shared" si="4"/>
        <v> </v>
      </c>
      <c r="AF82" s="179" t="str">
        <f t="shared" si="5"/>
        <v> </v>
      </c>
      <c r="AG82" s="179" t="str">
        <f t="shared" si="6"/>
        <v> </v>
      </c>
      <c r="AH82" s="179" t="str">
        <f t="shared" si="7"/>
        <v> </v>
      </c>
      <c r="AI82" s="179" t="str">
        <f t="shared" si="8"/>
        <v> </v>
      </c>
    </row>
    <row r="83" spans="1:35" ht="12.75">
      <c r="A83" s="186"/>
      <c r="B83" s="187"/>
      <c r="C83" s="187"/>
      <c r="D83" s="232"/>
      <c r="E83" s="186"/>
      <c r="F83" s="232"/>
      <c r="G83" s="186"/>
      <c r="H83" s="232"/>
      <c r="AB83" s="179" t="str">
        <f t="shared" si="9"/>
        <v> </v>
      </c>
      <c r="AC83" s="179" t="str">
        <f t="shared" si="2"/>
        <v> </v>
      </c>
      <c r="AD83" s="179" t="str">
        <f t="shared" si="3"/>
        <v> </v>
      </c>
      <c r="AE83" s="179" t="str">
        <f t="shared" si="4"/>
        <v> </v>
      </c>
      <c r="AF83" s="179" t="str">
        <f t="shared" si="5"/>
        <v> </v>
      </c>
      <c r="AG83" s="179" t="str">
        <f t="shared" si="6"/>
        <v> </v>
      </c>
      <c r="AH83" s="179" t="str">
        <f t="shared" si="7"/>
        <v> </v>
      </c>
      <c r="AI83" s="179" t="str">
        <f t="shared" si="8"/>
        <v> </v>
      </c>
    </row>
    <row r="84" spans="1:35" ht="12.75">
      <c r="A84" s="186"/>
      <c r="B84" s="187"/>
      <c r="C84" s="187"/>
      <c r="D84" s="232"/>
      <c r="E84" s="186"/>
      <c r="F84" s="232"/>
      <c r="G84" s="186"/>
      <c r="H84" s="232"/>
      <c r="AB84" s="179" t="str">
        <f t="shared" si="9"/>
        <v> </v>
      </c>
      <c r="AC84" s="179" t="str">
        <f t="shared" si="2"/>
        <v> </v>
      </c>
      <c r="AD84" s="179" t="str">
        <f t="shared" si="3"/>
        <v> </v>
      </c>
      <c r="AE84" s="179" t="str">
        <f t="shared" si="4"/>
        <v> </v>
      </c>
      <c r="AF84" s="179" t="str">
        <f t="shared" si="5"/>
        <v> </v>
      </c>
      <c r="AG84" s="179" t="str">
        <f t="shared" si="6"/>
        <v> </v>
      </c>
      <c r="AH84" s="179" t="str">
        <f t="shared" si="7"/>
        <v> </v>
      </c>
      <c r="AI84" s="179" t="str">
        <f t="shared" si="8"/>
        <v> </v>
      </c>
    </row>
    <row r="85" spans="1:35" ht="12.75">
      <c r="A85" s="186"/>
      <c r="B85" s="187"/>
      <c r="C85" s="187"/>
      <c r="D85" s="232"/>
      <c r="E85" s="186"/>
      <c r="F85" s="232"/>
      <c r="G85" s="186"/>
      <c r="H85" s="232"/>
      <c r="AB85" s="179" t="str">
        <f t="shared" si="9"/>
        <v> </v>
      </c>
      <c r="AC85" s="179" t="str">
        <f t="shared" si="2"/>
        <v> </v>
      </c>
      <c r="AD85" s="179" t="str">
        <f t="shared" si="3"/>
        <v> </v>
      </c>
      <c r="AE85" s="179" t="str">
        <f t="shared" si="4"/>
        <v> </v>
      </c>
      <c r="AF85" s="179" t="str">
        <f t="shared" si="5"/>
        <v> </v>
      </c>
      <c r="AG85" s="179" t="str">
        <f t="shared" si="6"/>
        <v> </v>
      </c>
      <c r="AH85" s="179" t="str">
        <f t="shared" si="7"/>
        <v> </v>
      </c>
      <c r="AI85" s="179" t="str">
        <f t="shared" si="8"/>
        <v> </v>
      </c>
    </row>
    <row r="86" spans="1:35" ht="12.75">
      <c r="A86" s="186"/>
      <c r="B86" s="187"/>
      <c r="C86" s="187"/>
      <c r="D86" s="232"/>
      <c r="E86" s="186"/>
      <c r="F86" s="232"/>
      <c r="G86" s="186"/>
      <c r="H86" s="232"/>
      <c r="AB86" s="179" t="str">
        <f t="shared" si="9"/>
        <v> </v>
      </c>
      <c r="AC86" s="179" t="str">
        <f aca="true" t="shared" si="10" ref="AC86:AC105">IF(ISBLANK(B86)=TRUE," ",ABS(B86-AVERAGE(B$6:B$105)))</f>
        <v> </v>
      </c>
      <c r="AD86" s="179" t="str">
        <f aca="true" t="shared" si="11" ref="AD86:AD105">IF(ISBLANK(C86)=TRUE," ",ABS(C86-AVERAGE(C$6:C$105)))</f>
        <v> </v>
      </c>
      <c r="AE86" s="179" t="str">
        <f aca="true" t="shared" si="12" ref="AE86:AE105">IF(ISBLANK(D86)=TRUE," ",ABS(D86-AVERAGE(D$6:D$105)))</f>
        <v> </v>
      </c>
      <c r="AF86" s="179" t="str">
        <f aca="true" t="shared" si="13" ref="AF86:AF105">IF(ISBLANK(E86)=TRUE," ",ABS(E86-AVERAGE(E$6:E$105)))</f>
        <v> </v>
      </c>
      <c r="AG86" s="179" t="str">
        <f aca="true" t="shared" si="14" ref="AG86:AG105">IF(ISBLANK(F86)=TRUE," ",ABS(F86-AVERAGE(F$6:F$105)))</f>
        <v> </v>
      </c>
      <c r="AH86" s="179" t="str">
        <f aca="true" t="shared" si="15" ref="AH86:AH105">IF(ISBLANK(G86)=TRUE," ",ABS(G86-AVERAGE(G$6:G$105)))</f>
        <v> </v>
      </c>
      <c r="AI86" s="179" t="str">
        <f aca="true" t="shared" si="16" ref="AI86:AI105">IF(ISBLANK(H86)=TRUE," ",ABS(H86-AVERAGE(H$6:H$105)))</f>
        <v> </v>
      </c>
    </row>
    <row r="87" spans="1:35" ht="12.75">
      <c r="A87" s="186"/>
      <c r="B87" s="187"/>
      <c r="C87" s="187"/>
      <c r="D87" s="232"/>
      <c r="E87" s="186"/>
      <c r="F87" s="232"/>
      <c r="G87" s="186"/>
      <c r="H87" s="232"/>
      <c r="AB87" s="179" t="str">
        <f t="shared" si="9"/>
        <v> </v>
      </c>
      <c r="AC87" s="179" t="str">
        <f t="shared" si="10"/>
        <v> </v>
      </c>
      <c r="AD87" s="179" t="str">
        <f t="shared" si="11"/>
        <v> </v>
      </c>
      <c r="AE87" s="179" t="str">
        <f t="shared" si="12"/>
        <v> </v>
      </c>
      <c r="AF87" s="179" t="str">
        <f t="shared" si="13"/>
        <v> </v>
      </c>
      <c r="AG87" s="179" t="str">
        <f t="shared" si="14"/>
        <v> </v>
      </c>
      <c r="AH87" s="179" t="str">
        <f t="shared" si="15"/>
        <v> </v>
      </c>
      <c r="AI87" s="179" t="str">
        <f t="shared" si="16"/>
        <v> </v>
      </c>
    </row>
    <row r="88" spans="1:35" ht="12.75">
      <c r="A88" s="186"/>
      <c r="B88" s="187"/>
      <c r="C88" s="187"/>
      <c r="D88" s="232"/>
      <c r="E88" s="186"/>
      <c r="F88" s="232"/>
      <c r="G88" s="186"/>
      <c r="H88" s="232"/>
      <c r="AB88" s="179" t="str">
        <f t="shared" si="9"/>
        <v> </v>
      </c>
      <c r="AC88" s="179" t="str">
        <f t="shared" si="10"/>
        <v> </v>
      </c>
      <c r="AD88" s="179" t="str">
        <f t="shared" si="11"/>
        <v> </v>
      </c>
      <c r="AE88" s="179" t="str">
        <f t="shared" si="12"/>
        <v> </v>
      </c>
      <c r="AF88" s="179" t="str">
        <f t="shared" si="13"/>
        <v> </v>
      </c>
      <c r="AG88" s="179" t="str">
        <f t="shared" si="14"/>
        <v> </v>
      </c>
      <c r="AH88" s="179" t="str">
        <f t="shared" si="15"/>
        <v> </v>
      </c>
      <c r="AI88" s="179" t="str">
        <f t="shared" si="16"/>
        <v> </v>
      </c>
    </row>
    <row r="89" spans="1:35" ht="12.75">
      <c r="A89" s="186"/>
      <c r="B89" s="187"/>
      <c r="C89" s="187"/>
      <c r="D89" s="232"/>
      <c r="E89" s="186"/>
      <c r="F89" s="232"/>
      <c r="G89" s="186"/>
      <c r="H89" s="232"/>
      <c r="AB89" s="179" t="str">
        <f t="shared" si="9"/>
        <v> </v>
      </c>
      <c r="AC89" s="179" t="str">
        <f t="shared" si="10"/>
        <v> </v>
      </c>
      <c r="AD89" s="179" t="str">
        <f t="shared" si="11"/>
        <v> </v>
      </c>
      <c r="AE89" s="179" t="str">
        <f t="shared" si="12"/>
        <v> </v>
      </c>
      <c r="AF89" s="179" t="str">
        <f t="shared" si="13"/>
        <v> </v>
      </c>
      <c r="AG89" s="179" t="str">
        <f t="shared" si="14"/>
        <v> </v>
      </c>
      <c r="AH89" s="179" t="str">
        <f t="shared" si="15"/>
        <v> </v>
      </c>
      <c r="AI89" s="179" t="str">
        <f t="shared" si="16"/>
        <v> </v>
      </c>
    </row>
    <row r="90" spans="1:35" ht="12.75">
      <c r="A90" s="186"/>
      <c r="B90" s="187"/>
      <c r="C90" s="187"/>
      <c r="D90" s="232"/>
      <c r="E90" s="186"/>
      <c r="F90" s="232"/>
      <c r="G90" s="186"/>
      <c r="H90" s="232"/>
      <c r="AB90" s="179" t="str">
        <f t="shared" si="9"/>
        <v> </v>
      </c>
      <c r="AC90" s="179" t="str">
        <f t="shared" si="10"/>
        <v> </v>
      </c>
      <c r="AD90" s="179" t="str">
        <f t="shared" si="11"/>
        <v> </v>
      </c>
      <c r="AE90" s="179" t="str">
        <f t="shared" si="12"/>
        <v> </v>
      </c>
      <c r="AF90" s="179" t="str">
        <f t="shared" si="13"/>
        <v> </v>
      </c>
      <c r="AG90" s="179" t="str">
        <f t="shared" si="14"/>
        <v> </v>
      </c>
      <c r="AH90" s="179" t="str">
        <f t="shared" si="15"/>
        <v> </v>
      </c>
      <c r="AI90" s="179" t="str">
        <f t="shared" si="16"/>
        <v> </v>
      </c>
    </row>
    <row r="91" spans="1:35" ht="12.75">
      <c r="A91" s="186"/>
      <c r="B91" s="187"/>
      <c r="C91" s="187"/>
      <c r="D91" s="232"/>
      <c r="E91" s="186"/>
      <c r="F91" s="232"/>
      <c r="G91" s="186"/>
      <c r="H91" s="232"/>
      <c r="AB91" s="179" t="str">
        <f t="shared" si="9"/>
        <v> </v>
      </c>
      <c r="AC91" s="179" t="str">
        <f t="shared" si="10"/>
        <v> </v>
      </c>
      <c r="AD91" s="179" t="str">
        <f t="shared" si="11"/>
        <v> </v>
      </c>
      <c r="AE91" s="179" t="str">
        <f t="shared" si="12"/>
        <v> </v>
      </c>
      <c r="AF91" s="179" t="str">
        <f t="shared" si="13"/>
        <v> </v>
      </c>
      <c r="AG91" s="179" t="str">
        <f t="shared" si="14"/>
        <v> </v>
      </c>
      <c r="AH91" s="179" t="str">
        <f t="shared" si="15"/>
        <v> </v>
      </c>
      <c r="AI91" s="179" t="str">
        <f t="shared" si="16"/>
        <v> </v>
      </c>
    </row>
    <row r="92" spans="1:35" ht="12.75">
      <c r="A92" s="186"/>
      <c r="B92" s="187"/>
      <c r="C92" s="187"/>
      <c r="D92" s="232"/>
      <c r="E92" s="186"/>
      <c r="F92" s="232"/>
      <c r="G92" s="186"/>
      <c r="H92" s="232"/>
      <c r="AB92" s="179" t="str">
        <f t="shared" si="9"/>
        <v> </v>
      </c>
      <c r="AC92" s="179" t="str">
        <f t="shared" si="10"/>
        <v> </v>
      </c>
      <c r="AD92" s="179" t="str">
        <f t="shared" si="11"/>
        <v> </v>
      </c>
      <c r="AE92" s="179" t="str">
        <f t="shared" si="12"/>
        <v> </v>
      </c>
      <c r="AF92" s="179" t="str">
        <f t="shared" si="13"/>
        <v> </v>
      </c>
      <c r="AG92" s="179" t="str">
        <f t="shared" si="14"/>
        <v> </v>
      </c>
      <c r="AH92" s="179" t="str">
        <f t="shared" si="15"/>
        <v> </v>
      </c>
      <c r="AI92" s="179" t="str">
        <f t="shared" si="16"/>
        <v> </v>
      </c>
    </row>
    <row r="93" spans="1:35" ht="12.75">
      <c r="A93" s="186"/>
      <c r="B93" s="187"/>
      <c r="C93" s="187"/>
      <c r="D93" s="232"/>
      <c r="E93" s="186"/>
      <c r="F93" s="232"/>
      <c r="G93" s="186"/>
      <c r="H93" s="232"/>
      <c r="AB93" s="179" t="str">
        <f t="shared" si="9"/>
        <v> </v>
      </c>
      <c r="AC93" s="179" t="str">
        <f t="shared" si="10"/>
        <v> </v>
      </c>
      <c r="AD93" s="179" t="str">
        <f t="shared" si="11"/>
        <v> </v>
      </c>
      <c r="AE93" s="179" t="str">
        <f t="shared" si="12"/>
        <v> </v>
      </c>
      <c r="AF93" s="179" t="str">
        <f t="shared" si="13"/>
        <v> </v>
      </c>
      <c r="AG93" s="179" t="str">
        <f t="shared" si="14"/>
        <v> </v>
      </c>
      <c r="AH93" s="179" t="str">
        <f t="shared" si="15"/>
        <v> </v>
      </c>
      <c r="AI93" s="179" t="str">
        <f t="shared" si="16"/>
        <v> </v>
      </c>
    </row>
    <row r="94" spans="1:35" ht="12.75">
      <c r="A94" s="186"/>
      <c r="B94" s="187"/>
      <c r="C94" s="187"/>
      <c r="D94" s="232"/>
      <c r="E94" s="186"/>
      <c r="F94" s="232"/>
      <c r="G94" s="186"/>
      <c r="H94" s="232"/>
      <c r="AB94" s="179" t="str">
        <f t="shared" si="9"/>
        <v> </v>
      </c>
      <c r="AC94" s="179" t="str">
        <f t="shared" si="10"/>
        <v> </v>
      </c>
      <c r="AD94" s="179" t="str">
        <f t="shared" si="11"/>
        <v> </v>
      </c>
      <c r="AE94" s="179" t="str">
        <f t="shared" si="12"/>
        <v> </v>
      </c>
      <c r="AF94" s="179" t="str">
        <f t="shared" si="13"/>
        <v> </v>
      </c>
      <c r="AG94" s="179" t="str">
        <f t="shared" si="14"/>
        <v> </v>
      </c>
      <c r="AH94" s="179" t="str">
        <f t="shared" si="15"/>
        <v> </v>
      </c>
      <c r="AI94" s="179" t="str">
        <f t="shared" si="16"/>
        <v> </v>
      </c>
    </row>
    <row r="95" spans="1:35" ht="12.75">
      <c r="A95" s="186"/>
      <c r="B95" s="187"/>
      <c r="C95" s="187"/>
      <c r="D95" s="232"/>
      <c r="E95" s="186"/>
      <c r="F95" s="232"/>
      <c r="G95" s="186"/>
      <c r="H95" s="232"/>
      <c r="AB95" s="179" t="str">
        <f t="shared" si="9"/>
        <v> </v>
      </c>
      <c r="AC95" s="179" t="str">
        <f t="shared" si="10"/>
        <v> </v>
      </c>
      <c r="AD95" s="179" t="str">
        <f t="shared" si="11"/>
        <v> </v>
      </c>
      <c r="AE95" s="179" t="str">
        <f t="shared" si="12"/>
        <v> </v>
      </c>
      <c r="AF95" s="179" t="str">
        <f t="shared" si="13"/>
        <v> </v>
      </c>
      <c r="AG95" s="179" t="str">
        <f t="shared" si="14"/>
        <v> </v>
      </c>
      <c r="AH95" s="179" t="str">
        <f t="shared" si="15"/>
        <v> </v>
      </c>
      <c r="AI95" s="179" t="str">
        <f t="shared" si="16"/>
        <v> </v>
      </c>
    </row>
    <row r="96" spans="1:35" ht="12.75">
      <c r="A96" s="186"/>
      <c r="B96" s="187"/>
      <c r="C96" s="187"/>
      <c r="D96" s="232"/>
      <c r="E96" s="186"/>
      <c r="F96" s="232"/>
      <c r="G96" s="186"/>
      <c r="H96" s="232"/>
      <c r="AB96" s="179" t="str">
        <f t="shared" si="9"/>
        <v> </v>
      </c>
      <c r="AC96" s="179" t="str">
        <f t="shared" si="10"/>
        <v> </v>
      </c>
      <c r="AD96" s="179" t="str">
        <f t="shared" si="11"/>
        <v> </v>
      </c>
      <c r="AE96" s="179" t="str">
        <f t="shared" si="12"/>
        <v> </v>
      </c>
      <c r="AF96" s="179" t="str">
        <f t="shared" si="13"/>
        <v> </v>
      </c>
      <c r="AG96" s="179" t="str">
        <f t="shared" si="14"/>
        <v> </v>
      </c>
      <c r="AH96" s="179" t="str">
        <f t="shared" si="15"/>
        <v> </v>
      </c>
      <c r="AI96" s="179" t="str">
        <f t="shared" si="16"/>
        <v> </v>
      </c>
    </row>
    <row r="97" spans="1:35" ht="12.75">
      <c r="A97" s="186"/>
      <c r="B97" s="187"/>
      <c r="C97" s="187"/>
      <c r="D97" s="232"/>
      <c r="E97" s="186"/>
      <c r="F97" s="232"/>
      <c r="G97" s="186"/>
      <c r="H97" s="232"/>
      <c r="AB97" s="179" t="str">
        <f t="shared" si="9"/>
        <v> </v>
      </c>
      <c r="AC97" s="179" t="str">
        <f t="shared" si="10"/>
        <v> </v>
      </c>
      <c r="AD97" s="179" t="str">
        <f t="shared" si="11"/>
        <v> </v>
      </c>
      <c r="AE97" s="179" t="str">
        <f t="shared" si="12"/>
        <v> </v>
      </c>
      <c r="AF97" s="179" t="str">
        <f t="shared" si="13"/>
        <v> </v>
      </c>
      <c r="AG97" s="179" t="str">
        <f t="shared" si="14"/>
        <v> </v>
      </c>
      <c r="AH97" s="179" t="str">
        <f t="shared" si="15"/>
        <v> </v>
      </c>
      <c r="AI97" s="179" t="str">
        <f t="shared" si="16"/>
        <v> </v>
      </c>
    </row>
    <row r="98" spans="1:35" ht="12.75">
      <c r="A98" s="186"/>
      <c r="B98" s="187"/>
      <c r="C98" s="187"/>
      <c r="D98" s="232"/>
      <c r="E98" s="186"/>
      <c r="F98" s="232"/>
      <c r="G98" s="186"/>
      <c r="H98" s="232"/>
      <c r="AB98" s="179" t="str">
        <f t="shared" si="9"/>
        <v> </v>
      </c>
      <c r="AC98" s="179" t="str">
        <f t="shared" si="10"/>
        <v> </v>
      </c>
      <c r="AD98" s="179" t="str">
        <f t="shared" si="11"/>
        <v> </v>
      </c>
      <c r="AE98" s="179" t="str">
        <f t="shared" si="12"/>
        <v> </v>
      </c>
      <c r="AF98" s="179" t="str">
        <f t="shared" si="13"/>
        <v> </v>
      </c>
      <c r="AG98" s="179" t="str">
        <f t="shared" si="14"/>
        <v> </v>
      </c>
      <c r="AH98" s="179" t="str">
        <f t="shared" si="15"/>
        <v> </v>
      </c>
      <c r="AI98" s="179" t="str">
        <f t="shared" si="16"/>
        <v> </v>
      </c>
    </row>
    <row r="99" spans="1:35" ht="12.75">
      <c r="A99" s="186"/>
      <c r="B99" s="187"/>
      <c r="C99" s="187"/>
      <c r="D99" s="232"/>
      <c r="E99" s="186"/>
      <c r="F99" s="232"/>
      <c r="G99" s="186"/>
      <c r="H99" s="232"/>
      <c r="AB99" s="179" t="str">
        <f t="shared" si="9"/>
        <v> </v>
      </c>
      <c r="AC99" s="179" t="str">
        <f t="shared" si="10"/>
        <v> </v>
      </c>
      <c r="AD99" s="179" t="str">
        <f t="shared" si="11"/>
        <v> </v>
      </c>
      <c r="AE99" s="179" t="str">
        <f t="shared" si="12"/>
        <v> </v>
      </c>
      <c r="AF99" s="179" t="str">
        <f t="shared" si="13"/>
        <v> </v>
      </c>
      <c r="AG99" s="179" t="str">
        <f t="shared" si="14"/>
        <v> </v>
      </c>
      <c r="AH99" s="179" t="str">
        <f t="shared" si="15"/>
        <v> </v>
      </c>
      <c r="AI99" s="179" t="str">
        <f t="shared" si="16"/>
        <v> </v>
      </c>
    </row>
    <row r="100" spans="1:35" ht="12.75">
      <c r="A100" s="186"/>
      <c r="B100" s="187"/>
      <c r="C100" s="187"/>
      <c r="D100" s="232"/>
      <c r="E100" s="186"/>
      <c r="F100" s="232"/>
      <c r="G100" s="186"/>
      <c r="H100" s="232"/>
      <c r="AB100" s="179" t="str">
        <f t="shared" si="9"/>
        <v> </v>
      </c>
      <c r="AC100" s="179" t="str">
        <f t="shared" si="10"/>
        <v> </v>
      </c>
      <c r="AD100" s="179" t="str">
        <f t="shared" si="11"/>
        <v> </v>
      </c>
      <c r="AE100" s="179" t="str">
        <f t="shared" si="12"/>
        <v> </v>
      </c>
      <c r="AF100" s="179" t="str">
        <f t="shared" si="13"/>
        <v> </v>
      </c>
      <c r="AG100" s="179" t="str">
        <f t="shared" si="14"/>
        <v> </v>
      </c>
      <c r="AH100" s="179" t="str">
        <f t="shared" si="15"/>
        <v> </v>
      </c>
      <c r="AI100" s="179" t="str">
        <f t="shared" si="16"/>
        <v> </v>
      </c>
    </row>
    <row r="101" spans="1:35" ht="12.75">
      <c r="A101" s="186"/>
      <c r="B101" s="187"/>
      <c r="C101" s="187"/>
      <c r="D101" s="232"/>
      <c r="E101" s="186"/>
      <c r="F101" s="232"/>
      <c r="G101" s="186"/>
      <c r="H101" s="232"/>
      <c r="AB101" s="179" t="str">
        <f t="shared" si="9"/>
        <v> </v>
      </c>
      <c r="AC101" s="179" t="str">
        <f t="shared" si="10"/>
        <v> </v>
      </c>
      <c r="AD101" s="179" t="str">
        <f t="shared" si="11"/>
        <v> </v>
      </c>
      <c r="AE101" s="179" t="str">
        <f t="shared" si="12"/>
        <v> </v>
      </c>
      <c r="AF101" s="179" t="str">
        <f t="shared" si="13"/>
        <v> </v>
      </c>
      <c r="AG101" s="179" t="str">
        <f t="shared" si="14"/>
        <v> </v>
      </c>
      <c r="AH101" s="179" t="str">
        <f t="shared" si="15"/>
        <v> </v>
      </c>
      <c r="AI101" s="179" t="str">
        <f t="shared" si="16"/>
        <v> </v>
      </c>
    </row>
    <row r="102" spans="1:35" ht="12.75">
      <c r="A102" s="186"/>
      <c r="B102" s="187"/>
      <c r="C102" s="187"/>
      <c r="D102" s="232"/>
      <c r="E102" s="186"/>
      <c r="F102" s="232"/>
      <c r="G102" s="186"/>
      <c r="H102" s="232"/>
      <c r="AB102" s="179" t="str">
        <f t="shared" si="9"/>
        <v> </v>
      </c>
      <c r="AC102" s="179" t="str">
        <f t="shared" si="10"/>
        <v> </v>
      </c>
      <c r="AD102" s="179" t="str">
        <f t="shared" si="11"/>
        <v> </v>
      </c>
      <c r="AE102" s="179" t="str">
        <f t="shared" si="12"/>
        <v> </v>
      </c>
      <c r="AF102" s="179" t="str">
        <f t="shared" si="13"/>
        <v> </v>
      </c>
      <c r="AG102" s="179" t="str">
        <f t="shared" si="14"/>
        <v> </v>
      </c>
      <c r="AH102" s="179" t="str">
        <f t="shared" si="15"/>
        <v> </v>
      </c>
      <c r="AI102" s="179" t="str">
        <f t="shared" si="16"/>
        <v> </v>
      </c>
    </row>
    <row r="103" spans="1:35" ht="12.75">
      <c r="A103" s="186"/>
      <c r="B103" s="187"/>
      <c r="C103" s="187"/>
      <c r="D103" s="232"/>
      <c r="E103" s="186"/>
      <c r="F103" s="232"/>
      <c r="G103" s="186"/>
      <c r="H103" s="232"/>
      <c r="AB103" s="179" t="str">
        <f t="shared" si="9"/>
        <v> </v>
      </c>
      <c r="AC103" s="179" t="str">
        <f t="shared" si="10"/>
        <v> </v>
      </c>
      <c r="AD103" s="179" t="str">
        <f t="shared" si="11"/>
        <v> </v>
      </c>
      <c r="AE103" s="179" t="str">
        <f t="shared" si="12"/>
        <v> </v>
      </c>
      <c r="AF103" s="179" t="str">
        <f t="shared" si="13"/>
        <v> </v>
      </c>
      <c r="AG103" s="179" t="str">
        <f t="shared" si="14"/>
        <v> </v>
      </c>
      <c r="AH103" s="179" t="str">
        <f t="shared" si="15"/>
        <v> </v>
      </c>
      <c r="AI103" s="179" t="str">
        <f t="shared" si="16"/>
        <v> </v>
      </c>
    </row>
    <row r="104" spans="1:35" ht="12.75">
      <c r="A104" s="186"/>
      <c r="B104" s="187"/>
      <c r="C104" s="187"/>
      <c r="D104" s="232"/>
      <c r="E104" s="186"/>
      <c r="F104" s="232"/>
      <c r="G104" s="186"/>
      <c r="H104" s="232"/>
      <c r="AB104" s="179" t="str">
        <f t="shared" si="9"/>
        <v> </v>
      </c>
      <c r="AC104" s="179" t="str">
        <f t="shared" si="10"/>
        <v> </v>
      </c>
      <c r="AD104" s="179" t="str">
        <f t="shared" si="11"/>
        <v> </v>
      </c>
      <c r="AE104" s="179" t="str">
        <f t="shared" si="12"/>
        <v> </v>
      </c>
      <c r="AF104" s="179" t="str">
        <f t="shared" si="13"/>
        <v> </v>
      </c>
      <c r="AG104" s="179" t="str">
        <f t="shared" si="14"/>
        <v> </v>
      </c>
      <c r="AH104" s="179" t="str">
        <f t="shared" si="15"/>
        <v> </v>
      </c>
      <c r="AI104" s="179" t="str">
        <f t="shared" si="16"/>
        <v> </v>
      </c>
    </row>
    <row r="105" spans="1:35" ht="12.75">
      <c r="A105" s="186"/>
      <c r="B105" s="187"/>
      <c r="C105" s="187"/>
      <c r="D105" s="232"/>
      <c r="E105" s="186"/>
      <c r="F105" s="232"/>
      <c r="G105" s="186"/>
      <c r="H105" s="232"/>
      <c r="AB105" s="179" t="str">
        <f t="shared" si="9"/>
        <v> </v>
      </c>
      <c r="AC105" s="179" t="str">
        <f t="shared" si="10"/>
        <v> </v>
      </c>
      <c r="AD105" s="179" t="str">
        <f t="shared" si="11"/>
        <v> </v>
      </c>
      <c r="AE105" s="179" t="str">
        <f t="shared" si="12"/>
        <v> </v>
      </c>
      <c r="AF105" s="179" t="str">
        <f t="shared" si="13"/>
        <v> </v>
      </c>
      <c r="AG105" s="179" t="str">
        <f t="shared" si="14"/>
        <v> </v>
      </c>
      <c r="AH105" s="179" t="str">
        <f t="shared" si="15"/>
        <v> </v>
      </c>
      <c r="AI105" s="179" t="str">
        <f t="shared" si="16"/>
        <v> </v>
      </c>
    </row>
  </sheetData>
  <sheetProtection sheet="1" objects="1" scenarios="1"/>
  <printOptions/>
  <pageMargins left="0.75" right="0.75" top="1" bottom="1" header="0.5" footer="0.5"/>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FDA.CDER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Vogel</dc:creator>
  <cp:keywords/>
  <dc:description/>
  <cp:lastModifiedBy>wmvogel</cp:lastModifiedBy>
  <cp:lastPrinted>2005-06-14T20:01:35Z</cp:lastPrinted>
  <dcterms:created xsi:type="dcterms:W3CDTF">1997-01-06T18:09:39Z</dcterms:created>
  <dcterms:modified xsi:type="dcterms:W3CDTF">2007-09-04T20:43:37Z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