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2"/>
  </bookViews>
  <sheets>
    <sheet name="Calculations" sheetId="1" r:id="rId1"/>
    <sheet name="Different Assumptions" sheetId="2" r:id="rId2"/>
    <sheet name="References" sheetId="3" r:id="rId3"/>
  </sheets>
  <definedNames>
    <definedName name="Excel_BuiltIn_Print_Area_2">'Different Assumptions'!$A$1:$C$30</definedName>
  </definedNames>
  <calcPr fullCalcOnLoad="1"/>
</workbook>
</file>

<file path=xl/sharedStrings.xml><?xml version="1.0" encoding="utf-8"?>
<sst xmlns="http://schemas.openxmlformats.org/spreadsheetml/2006/main" count="238" uniqueCount="105">
  <si>
    <t xml:space="preserve">Compound:         </t>
  </si>
  <si>
    <t>Butanol</t>
  </si>
  <si>
    <r>
      <t>Select units for inhaled concentration:</t>
    </r>
    <r>
      <rPr>
        <sz val="10"/>
        <rFont val="Arial"/>
        <family val="2"/>
      </rPr>
      <t xml:space="preserve">   ppm</t>
    </r>
  </si>
  <si>
    <t>mg/m³</t>
  </si>
  <si>
    <r>
      <t xml:space="preserve">Enter concentration here </t>
    </r>
    <r>
      <rPr>
        <sz val="10"/>
        <rFont val="Wingdings"/>
        <family val="0"/>
      </rPr>
      <t>è</t>
    </r>
  </si>
  <si>
    <r>
      <t xml:space="preserve">If units are in ppm, enter molecular weight here </t>
    </r>
    <r>
      <rPr>
        <sz val="10"/>
        <rFont val="Wingdings"/>
        <family val="0"/>
      </rPr>
      <t>è</t>
    </r>
  </si>
  <si>
    <t>Daltons</t>
  </si>
  <si>
    <t>=</t>
  </si>
  <si>
    <t>Human Daily Dose in mg/kg:</t>
  </si>
  <si>
    <t>For 20 m³/day respiratory volume (EPA values) =</t>
  </si>
  <si>
    <t>mg/kg/day</t>
  </si>
  <si>
    <t>For 10 m³/day respiratory volume (occupational) =</t>
  </si>
  <si>
    <t>For Laboratory Animals:</t>
  </si>
  <si>
    <t>Inhalation concentration from above</t>
  </si>
  <si>
    <r>
      <t xml:space="preserve">Enter Species </t>
    </r>
    <r>
      <rPr>
        <sz val="10"/>
        <rFont val="Wingdings"/>
        <family val="0"/>
      </rPr>
      <t>è</t>
    </r>
  </si>
  <si>
    <t>dog</t>
  </si>
  <si>
    <r>
      <t xml:space="preserve">Enter approximate animal weight in kg  </t>
    </r>
    <r>
      <rPr>
        <sz val="10"/>
        <rFont val="Wingdings"/>
        <family val="0"/>
      </rPr>
      <t>è</t>
    </r>
  </si>
  <si>
    <t>kg</t>
  </si>
  <si>
    <t>mL/min</t>
  </si>
  <si>
    <t xml:space="preserve">Respiratory minute volume = </t>
  </si>
  <si>
    <t>mL/kg/min</t>
  </si>
  <si>
    <r>
      <t xml:space="preserve">To override default value, enter respiratory minute volume  </t>
    </r>
    <r>
      <rPr>
        <sz val="10"/>
        <rFont val="Wingdings"/>
        <family val="0"/>
      </rPr>
      <t>è</t>
    </r>
  </si>
  <si>
    <t>(otherwise leave blank)</t>
  </si>
  <si>
    <t>Inhaled dose rate =</t>
  </si>
  <si>
    <t>mg/kg/hr</t>
  </si>
  <si>
    <r>
      <t xml:space="preserve">Enter hours per day exposure </t>
    </r>
    <r>
      <rPr>
        <sz val="10"/>
        <rFont val="Wingdings"/>
        <family val="0"/>
      </rPr>
      <t xml:space="preserve"> è</t>
    </r>
  </si>
  <si>
    <t>hr/day</t>
  </si>
  <si>
    <r>
      <t xml:space="preserve">Enter days per week exposure (enter 7 if daily for &lt;7 days) </t>
    </r>
    <r>
      <rPr>
        <sz val="10"/>
        <rFont val="Wingdings"/>
        <family val="0"/>
      </rPr>
      <t>è</t>
    </r>
  </si>
  <si>
    <t>days/week</t>
  </si>
  <si>
    <t>Average daily dose  =</t>
  </si>
  <si>
    <r>
      <t xml:space="preserve">Assumptions &amp; Conversion Factors:                </t>
    </r>
    <r>
      <rPr>
        <sz val="10"/>
        <rFont val="Arial"/>
        <family val="2"/>
      </rPr>
      <t xml:space="preserve"> 1 m³ = 1000 L</t>
    </r>
  </si>
  <si>
    <t>(ppm x MW)/24.45 = mg/m³</t>
  </si>
  <si>
    <t>EPA assumes daily respiratory volume of 20 m³</t>
  </si>
  <si>
    <r>
      <t xml:space="preserve">Occupational exposure </t>
    </r>
    <r>
      <rPr>
        <sz val="10"/>
        <rFont val="Symbol"/>
        <family val="1"/>
      </rPr>
      <t>»</t>
    </r>
    <r>
      <rPr>
        <sz val="10"/>
        <rFont val="Arial"/>
        <family val="2"/>
      </rPr>
      <t xml:space="preserve"> 10 m³ per work day</t>
    </r>
  </si>
  <si>
    <t>70 kg person (EPA and OSHA assumptions)</t>
  </si>
  <si>
    <t xml:space="preserve">* Respiratory volume in mL/min = </t>
  </si>
  <si>
    <t>x (body mass)</t>
  </si>
  <si>
    <t>(Default allometric equation can be overridden by inserting preferred values in shaded cells above)</t>
  </si>
  <si>
    <t xml:space="preserve">* L From: Bide RW, Armour SJ, Yee E. Allometric respiration/body mass data for animals to be </t>
  </si>
  <si>
    <t xml:space="preserve">   used for estimation of inhalation toxicity to young adult humans.  J Appl Toxicol 2000;20:273-90.</t>
  </si>
  <si>
    <t>Dose Conversion for Inhalation Exposure Using Different Assumptions</t>
  </si>
  <si>
    <t>Respiratory Volume (mL/min/kg)</t>
  </si>
  <si>
    <t>ICH</t>
  </si>
  <si>
    <t>EPA</t>
  </si>
  <si>
    <t>Lovelace</t>
  </si>
  <si>
    <t>Mouse</t>
  </si>
  <si>
    <t>Rat</t>
  </si>
  <si>
    <t>Hamster</t>
  </si>
  <si>
    <t>N/A</t>
  </si>
  <si>
    <t>Guinea Pig</t>
  </si>
  <si>
    <t>Monkey</t>
  </si>
  <si>
    <t>Rabbit</t>
  </si>
  <si>
    <t>Dog</t>
  </si>
  <si>
    <t>Human</t>
  </si>
  <si>
    <t>Compound:</t>
  </si>
  <si>
    <r>
      <t xml:space="preserve">Enter hours/day exposure </t>
    </r>
    <r>
      <rPr>
        <sz val="10"/>
        <rFont val="Wingdings"/>
        <family val="0"/>
      </rPr>
      <t>è</t>
    </r>
  </si>
  <si>
    <t>hours/day</t>
  </si>
  <si>
    <r>
      <t xml:space="preserve">Enter days/week exposure (7 if daily for&lt;7 days) </t>
    </r>
    <r>
      <rPr>
        <sz val="10"/>
        <rFont val="Wingdings"/>
        <family val="0"/>
      </rPr>
      <t>è</t>
    </r>
  </si>
  <si>
    <t>For species =</t>
  </si>
  <si>
    <t>Inhalation exposure =</t>
  </si>
  <si>
    <t>Assume respiratory volume =</t>
  </si>
  <si>
    <t>mL/min/kg</t>
  </si>
  <si>
    <t>Dose per exposure =</t>
  </si>
  <si>
    <t>mg/kg</t>
  </si>
  <si>
    <t>Average daily dose =</t>
  </si>
  <si>
    <t>Species</t>
  </si>
  <si>
    <t>Assumptions</t>
  </si>
  <si>
    <t>Units</t>
  </si>
  <si>
    <t>Assumptions used in ICH Residual Solvents Guidance</t>
  </si>
  <si>
    <t>L/min</t>
  </si>
  <si>
    <t>Body mass</t>
  </si>
  <si>
    <t>Resp Vol</t>
  </si>
  <si>
    <t>mouse</t>
  </si>
  <si>
    <t>(kg)</t>
  </si>
  <si>
    <t>(L/min)</t>
  </si>
  <si>
    <t>(L/day)</t>
  </si>
  <si>
    <r>
      <t>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/day)</t>
    </r>
  </si>
  <si>
    <t>rat</t>
  </si>
  <si>
    <t>guinea pig</t>
  </si>
  <si>
    <t>Compilation of all data sets:</t>
  </si>
  <si>
    <t>monkey</t>
  </si>
  <si>
    <t>rabbit</t>
  </si>
  <si>
    <t>human</t>
  </si>
  <si>
    <t>Boggs</t>
  </si>
  <si>
    <t>Boggs DF: Comparative control of respiration. In: Treatise on Pulmonary Toxicology, vol.1, Comparative Biology of the Normal Lung, Prent RA ed., CRC Press, Boca Raton, FL, 1992.</t>
  </si>
  <si>
    <t>(Resp Vol = 0.379*Body Mass^0.8)</t>
  </si>
  <si>
    <t>RCAF</t>
  </si>
  <si>
    <t>Coefficients from Bride reference come closest to those</t>
  </si>
  <si>
    <t>for total data set.</t>
  </si>
  <si>
    <t>hamster</t>
  </si>
  <si>
    <t>McClellan</t>
  </si>
  <si>
    <t>Bide RW, Armour SJ, Yee E. Allometric respiration/body mass data for animals to be used for estimation of inhalation toxicity to young adult humans.  J Appl Toxicol 2000;20:273-90.</t>
  </si>
  <si>
    <t>(Resp Vol = 0.499 Body Mass^0.809)</t>
  </si>
  <si>
    <t>cat</t>
  </si>
  <si>
    <t>McClellan RO, Henderson RF. Concepts in Inhalation Toxicology. Hemisphere Publishing. 1989, pg 196</t>
  </si>
  <si>
    <t>Body wt</t>
  </si>
  <si>
    <t>US EPA (1985) as reported in CRC Handbook of Toxicology p 643</t>
  </si>
  <si>
    <t>Allometric equations:</t>
  </si>
  <si>
    <t>Source</t>
  </si>
  <si>
    <t>Intercept</t>
  </si>
  <si>
    <t>Slope</t>
  </si>
  <si>
    <t>Bide</t>
  </si>
  <si>
    <t>Mean</t>
  </si>
  <si>
    <t>Median</t>
  </si>
  <si>
    <t>Acetonitrile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</si>
</sst>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  <numFmt numFmtId="167" formatCode="0.0000"/>
    <numFmt numFmtId="168" formatCode="&quot;TRUE&quot;;&quot;TRUE&quot;;&quot;FALSE&quot;"/>
  </numFmts>
  <fonts count="20">
    <font>
      <sz val="12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Wingdings"/>
      <family val="0"/>
    </font>
    <font>
      <sz val="10"/>
      <name val="Symbol"/>
      <family val="1"/>
    </font>
    <font>
      <b/>
      <sz val="12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10.25"/>
      <color indexed="8"/>
      <name val="Times New Roman"/>
      <family val="2"/>
    </font>
    <font>
      <b/>
      <sz val="9.75"/>
      <color indexed="8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63"/>
      <name val="Arial"/>
      <family val="2"/>
    </font>
    <font>
      <sz val="12"/>
      <color indexed="63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right"/>
    </xf>
    <xf numFmtId="0" fontId="1" fillId="2" borderId="3" xfId="0" applyNumberFormat="1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167" fontId="1" fillId="0" borderId="0" xfId="0" applyNumberFormat="1" applyFont="1" applyAlignment="1">
      <alignment/>
    </xf>
    <xf numFmtId="164" fontId="1" fillId="0" borderId="2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168" fontId="1" fillId="0" borderId="0" xfId="0" applyNumberFormat="1" applyFont="1" applyAlignment="1" applyProtection="1">
      <alignment/>
      <protection locked="0"/>
    </xf>
    <xf numFmtId="167" fontId="3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7" fontId="3" fillId="0" borderId="0" xfId="0" applyNumberFormat="1" applyFont="1" applyAlignment="1">
      <alignment horizontal="righ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0" fontId="1" fillId="2" borderId="4" xfId="0" applyNumberFormat="1" applyFont="1" applyFill="1" applyBorder="1" applyAlignment="1" applyProtection="1">
      <alignment/>
      <protection locked="0"/>
    </xf>
    <xf numFmtId="1" fontId="1" fillId="2" borderId="4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0" fontId="2" fillId="0" borderId="0" xfId="19">
      <alignment/>
      <protection/>
    </xf>
    <xf numFmtId="0" fontId="2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2" fillId="0" borderId="5" xfId="19" applyBorder="1">
      <alignment/>
      <protection/>
    </xf>
    <xf numFmtId="0" fontId="2" fillId="0" borderId="5" xfId="19" applyFont="1" applyBorder="1" applyAlignment="1">
      <alignment horizontal="right"/>
      <protection/>
    </xf>
    <xf numFmtId="164" fontId="2" fillId="0" borderId="0" xfId="19" applyNumberFormat="1">
      <alignment/>
      <protection/>
    </xf>
    <xf numFmtId="1" fontId="2" fillId="0" borderId="0" xfId="19" applyNumberFormat="1">
      <alignment/>
      <protection/>
    </xf>
    <xf numFmtId="2" fontId="2" fillId="0" borderId="0" xfId="19" applyNumberFormat="1">
      <alignment/>
      <protection/>
    </xf>
    <xf numFmtId="164" fontId="2" fillId="0" borderId="0" xfId="19" applyNumberFormat="1" applyFill="1">
      <alignment/>
      <protection/>
    </xf>
    <xf numFmtId="1" fontId="2" fillId="0" borderId="0" xfId="19" applyNumberFormat="1" applyFill="1">
      <alignment/>
      <protection/>
    </xf>
    <xf numFmtId="166" fontId="2" fillId="0" borderId="0" xfId="19" applyNumberFormat="1">
      <alignment/>
      <protection/>
    </xf>
    <xf numFmtId="1" fontId="2" fillId="0" borderId="5" xfId="19" applyNumberFormat="1" applyBorder="1">
      <alignment/>
      <protection/>
    </xf>
    <xf numFmtId="166" fontId="2" fillId="0" borderId="5" xfId="19" applyNumberFormat="1" applyBorder="1">
      <alignment/>
      <protection/>
    </xf>
    <xf numFmtId="0" fontId="2" fillId="0" borderId="5" xfId="19" applyFont="1" applyBorder="1">
      <alignment/>
      <protection/>
    </xf>
    <xf numFmtId="2" fontId="2" fillId="0" borderId="5" xfId="19" applyNumberFormat="1" applyBorder="1">
      <alignment/>
      <protection/>
    </xf>
    <xf numFmtId="0" fontId="2" fillId="0" borderId="0" xfId="19" applyFont="1" applyBorder="1">
      <alignment/>
      <protection/>
    </xf>
    <xf numFmtId="164" fontId="2" fillId="0" borderId="0" xfId="19" applyNumberFormat="1" applyBorder="1">
      <alignment/>
      <protection/>
    </xf>
    <xf numFmtId="1" fontId="2" fillId="0" borderId="0" xfId="19" applyNumberFormat="1" applyBorder="1">
      <alignment/>
      <protection/>
    </xf>
    <xf numFmtId="164" fontId="2" fillId="0" borderId="5" xfId="19" applyNumberFormat="1" applyBorder="1">
      <alignment/>
      <protection/>
    </xf>
    <xf numFmtId="2" fontId="2" fillId="0" borderId="0" xfId="19" applyNumberFormat="1" applyFill="1" applyBorder="1">
      <alignment/>
      <protection/>
    </xf>
    <xf numFmtId="1" fontId="2" fillId="0" borderId="0" xfId="19" applyNumberFormat="1" applyFill="1" applyBorder="1">
      <alignment/>
      <protection/>
    </xf>
    <xf numFmtId="2" fontId="2" fillId="0" borderId="0" xfId="19" applyNumberFormat="1" applyBorder="1">
      <alignment/>
      <protection/>
    </xf>
    <xf numFmtId="0" fontId="8" fillId="0" borderId="0" xfId="19" applyFont="1">
      <alignment/>
      <protection/>
    </xf>
    <xf numFmtId="0" fontId="16" fillId="2" borderId="0" xfId="0" applyFont="1" applyFill="1" applyAlignment="1" applyProtection="1">
      <alignment horizontal="left"/>
      <protection locked="0"/>
    </xf>
    <xf numFmtId="0" fontId="3" fillId="0" borderId="7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2" fontId="1" fillId="0" borderId="7" xfId="0" applyNumberFormat="1" applyFont="1" applyBorder="1" applyAlignment="1">
      <alignment/>
    </xf>
    <xf numFmtId="0" fontId="1" fillId="2" borderId="3" xfId="0" applyFont="1" applyFill="1" applyBorder="1" applyAlignment="1" applyProtection="1">
      <alignment horizontal="left" indent="1"/>
      <protection locked="0"/>
    </xf>
    <xf numFmtId="0" fontId="2" fillId="0" borderId="8" xfId="19" applyFont="1" applyBorder="1" applyAlignment="1">
      <alignment horizontal="center"/>
      <protection/>
    </xf>
    <xf numFmtId="0" fontId="2" fillId="0" borderId="0" xfId="19" applyFont="1" applyBorder="1" applyAlignment="1">
      <alignment horizontal="left" wrapText="1"/>
      <protection/>
    </xf>
    <xf numFmtId="0" fontId="2" fillId="0" borderId="5" xfId="19" applyFont="1" applyBorder="1" applyAlignment="1">
      <alignment horizontal="left" wrapText="1"/>
      <protection/>
    </xf>
    <xf numFmtId="0" fontId="2" fillId="0" borderId="0" xfId="19" applyFont="1" applyBorder="1" applyAlignment="1">
      <alignment horizontal="center"/>
      <protection/>
    </xf>
    <xf numFmtId="0" fontId="8" fillId="0" borderId="5" xfId="19" applyFont="1" applyBorder="1" applyAlignment="1">
      <alignment horizontal="left"/>
      <protection/>
    </xf>
    <xf numFmtId="0" fontId="2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p Vo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044"/>
          <c:w val="0.8795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References!$B$4:$B$10</c:f>
              <c:numCache/>
            </c:numRef>
          </c:xVal>
          <c:yVal>
            <c:numRef>
              <c:f>References!$C$4:$C$10</c:f>
              <c:numCache/>
            </c:numRef>
          </c:yVal>
          <c:smooth val="0"/>
        </c:ser>
        <c:axId val="32454823"/>
        <c:axId val="15993404"/>
      </c:scatterChart>
      <c:valAx>
        <c:axId val="3245482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Body Mass (kg)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93404"/>
        <c:crossesAt val="0.01000000000000001"/>
        <c:crossBetween val="midCat"/>
        <c:dispUnits/>
      </c:valAx>
      <c:valAx>
        <c:axId val="1599340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Resp Vol (L/min)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54823"/>
        <c:crossesAt val="0.0100000000000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01775"/>
          <c:w val="0.88"/>
          <c:h val="0.90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References!$B$42:$B$47</c:f>
              <c:numCache/>
            </c:numRef>
          </c:xVal>
          <c:yVal>
            <c:numRef>
              <c:f>References!$C$42:$C$47</c:f>
              <c:numCache/>
            </c:numRef>
          </c:yVal>
          <c:smooth val="0"/>
        </c:ser>
        <c:axId val="23532557"/>
        <c:axId val="67562"/>
      </c:scatterChart>
      <c:valAx>
        <c:axId val="2353255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Body Mass (kg)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562"/>
        <c:crossesAt val="0.01000000000000001"/>
        <c:crossBetween val="midCat"/>
        <c:dispUnits/>
      </c:valAx>
      <c:valAx>
        <c:axId val="6756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Resp Vol (L/min)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32557"/>
        <c:crossesAt val="0.0100000000000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"/>
          <c:w val="0.88"/>
          <c:h val="0.91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References!$B$54:$B$62</c:f>
              <c:numCache/>
            </c:numRef>
          </c:xVal>
          <c:yVal>
            <c:numRef>
              <c:f>References!$C$54:$C$62</c:f>
              <c:numCache/>
            </c:numRef>
          </c:yVal>
          <c:smooth val="0"/>
        </c:ser>
        <c:axId val="5202275"/>
        <c:axId val="65030856"/>
      </c:scatterChart>
      <c:valAx>
        <c:axId val="520227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Body Mass (kg)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030856"/>
        <c:crossesAt val="0.01000000000000001"/>
        <c:crossBetween val="midCat"/>
        <c:dispUnits/>
      </c:valAx>
      <c:valAx>
        <c:axId val="65030856"/>
        <c:scaling>
          <c:logBase val="10"/>
          <c:orientation val="minMax"/>
          <c:min val="0.01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Resp Vol (L/min)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202275"/>
        <c:crossesAt val="0.0100000000000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0"/>
            <c:dispRSqr val="0"/>
          </c:trendline>
          <c:xVal>
            <c:numRef>
              <c:f>References!$T$2:$T$38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References!$U$2:$U$38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1319977"/>
        <c:axId val="27521622"/>
      </c:scatterChart>
      <c:valAx>
        <c:axId val="41319977"/>
        <c:scaling>
          <c:logBase val="10"/>
          <c:orientation val="minMax"/>
          <c:min val="0.01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 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1622"/>
        <c:crossesAt val="0.01000000000000001"/>
        <c:crossBetween val="midCat"/>
        <c:dispUnits/>
      </c:valAx>
      <c:valAx>
        <c:axId val="27521622"/>
        <c:scaling>
          <c:logBase val="10"/>
          <c:orientation val="minMax"/>
          <c:min val="0.01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 Vol (L/min)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9977"/>
        <c:crossesAt val="0.0100000000000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0</xdr:row>
      <xdr:rowOff>180975</xdr:rowOff>
    </xdr:from>
    <xdr:to>
      <xdr:col>12</xdr:col>
      <xdr:colOff>123825</xdr:colOff>
      <xdr:row>11</xdr:row>
      <xdr:rowOff>190500</xdr:rowOff>
    </xdr:to>
    <xdr:graphicFrame>
      <xdr:nvGraphicFramePr>
        <xdr:cNvPr id="1" name="Chart 1"/>
        <xdr:cNvGraphicFramePr/>
      </xdr:nvGraphicFramePr>
      <xdr:xfrm>
        <a:off x="4943475" y="180975"/>
        <a:ext cx="35623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152400</xdr:colOff>
      <xdr:row>46</xdr:row>
      <xdr:rowOff>190500</xdr:rowOff>
    </xdr:to>
    <xdr:graphicFrame>
      <xdr:nvGraphicFramePr>
        <xdr:cNvPr id="2" name="Chart 2"/>
        <xdr:cNvGraphicFramePr/>
      </xdr:nvGraphicFramePr>
      <xdr:xfrm>
        <a:off x="4953000" y="7915275"/>
        <a:ext cx="35814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657225</xdr:colOff>
      <xdr:row>49</xdr:row>
      <xdr:rowOff>180975</xdr:rowOff>
    </xdr:from>
    <xdr:to>
      <xdr:col>12</xdr:col>
      <xdr:colOff>123825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4924425" y="10725150"/>
        <a:ext cx="35814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647700</xdr:colOff>
      <xdr:row>4</xdr:row>
      <xdr:rowOff>38100</xdr:rowOff>
    </xdr:from>
    <xdr:to>
      <xdr:col>27</xdr:col>
      <xdr:colOff>114300</xdr:colOff>
      <xdr:row>15</xdr:row>
      <xdr:rowOff>19050</xdr:rowOff>
    </xdr:to>
    <xdr:graphicFrame>
      <xdr:nvGraphicFramePr>
        <xdr:cNvPr id="4" name="Chart 4"/>
        <xdr:cNvGraphicFramePr/>
      </xdr:nvGraphicFramePr>
      <xdr:xfrm>
        <a:off x="15201900" y="876300"/>
        <a:ext cx="358140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32"/>
  <sheetViews>
    <sheetView showGridLines="0" workbookViewId="0" topLeftCell="A1">
      <selection activeCell="H17" sqref="H17"/>
    </sheetView>
  </sheetViews>
  <sheetFormatPr defaultColWidth="8.88671875" defaultRowHeight="15"/>
  <cols>
    <col min="1" max="1" width="2.3359375" style="1" customWidth="1"/>
    <col min="2" max="2" width="42.4453125" style="1" customWidth="1"/>
    <col min="3" max="3" width="7.6640625" style="1" customWidth="1"/>
    <col min="4" max="4" width="9.77734375" style="1" customWidth="1"/>
    <col min="5" max="5" width="4.21484375" style="1" customWidth="1"/>
    <col min="6" max="6" width="3.5546875" style="1" customWidth="1"/>
    <col min="7" max="16384" width="8.88671875" style="1" customWidth="1"/>
  </cols>
  <sheetData>
    <row r="1" spans="2:6" ht="7.5" customHeight="1">
      <c r="B1" s="2"/>
      <c r="C1" s="2"/>
      <c r="D1" s="2"/>
      <c r="E1" s="2"/>
      <c r="F1" s="2"/>
    </row>
    <row r="2" spans="2:6" ht="12.75">
      <c r="B2" s="3" t="s">
        <v>0</v>
      </c>
      <c r="C2" s="79" t="s">
        <v>104</v>
      </c>
      <c r="D2" s="79"/>
      <c r="E2" s="79"/>
      <c r="F2" s="79"/>
    </row>
    <row r="3" spans="2:6" s="4" customFormat="1" ht="18.75" customHeight="1">
      <c r="B3" s="5" t="s">
        <v>2</v>
      </c>
      <c r="C3" s="6"/>
      <c r="D3" s="7" t="s">
        <v>3</v>
      </c>
      <c r="E3" s="6"/>
      <c r="F3" s="6"/>
    </row>
    <row r="4" spans="2:4" ht="12.75">
      <c r="B4" s="8" t="s">
        <v>4</v>
      </c>
      <c r="C4" s="9">
        <v>200</v>
      </c>
      <c r="D4" s="1" t="str">
        <f>IF(C31=1,"ppm",D6)</f>
        <v>ppm</v>
      </c>
    </row>
    <row r="5" spans="2:4" ht="12.75">
      <c r="B5" s="8" t="s">
        <v>5</v>
      </c>
      <c r="C5" s="10">
        <v>41.05</v>
      </c>
      <c r="D5" s="1" t="s">
        <v>6</v>
      </c>
    </row>
    <row r="6" spans="2:6" ht="13.5" thickBot="1">
      <c r="B6" s="11" t="s">
        <v>7</v>
      </c>
      <c r="C6" s="12">
        <f>IF(C31=1,(C4*C5)/24.45,C4)</f>
        <v>335.7873210633947</v>
      </c>
      <c r="D6" s="13" t="s">
        <v>3</v>
      </c>
      <c r="E6" s="13"/>
      <c r="F6" s="13"/>
    </row>
    <row r="7" spans="2:6" ht="13.5" thickTop="1">
      <c r="B7" s="75" t="s">
        <v>8</v>
      </c>
      <c r="C7" s="78"/>
      <c r="D7" s="76"/>
      <c r="E7" s="76"/>
      <c r="F7" s="76"/>
    </row>
    <row r="8" spans="2:4" ht="12.75">
      <c r="B8" s="8" t="s">
        <v>9</v>
      </c>
      <c r="C8" s="15">
        <f>(C6*20)/70</f>
        <v>95.93923458954134</v>
      </c>
      <c r="D8" s="1" t="s">
        <v>10</v>
      </c>
    </row>
    <row r="9" spans="2:6" ht="13.5" thickBot="1">
      <c r="B9" s="11" t="s">
        <v>11</v>
      </c>
      <c r="C9" s="16">
        <f>(C6*10)/70</f>
        <v>47.96961729477067</v>
      </c>
      <c r="D9" s="13" t="s">
        <v>10</v>
      </c>
      <c r="E9" s="13"/>
      <c r="F9" s="13"/>
    </row>
    <row r="10" spans="2:6" ht="13.5" thickTop="1">
      <c r="B10" s="75" t="s">
        <v>12</v>
      </c>
      <c r="C10" s="76"/>
      <c r="D10" s="76"/>
      <c r="E10" s="76"/>
      <c r="F10" s="76"/>
    </row>
    <row r="11" spans="2:4" ht="13.5" thickBot="1">
      <c r="B11" s="8" t="s">
        <v>13</v>
      </c>
      <c r="C11" s="17">
        <f>C6</f>
        <v>335.7873210633947</v>
      </c>
      <c r="D11" s="14" t="s">
        <v>3</v>
      </c>
    </row>
    <row r="12" spans="2:3" ht="12.75">
      <c r="B12" s="8" t="s">
        <v>14</v>
      </c>
      <c r="C12" s="18" t="s">
        <v>77</v>
      </c>
    </row>
    <row r="13" spans="2:4" ht="12.75">
      <c r="B13" s="8" t="s">
        <v>16</v>
      </c>
      <c r="C13" s="19">
        <v>0.425</v>
      </c>
      <c r="D13" s="1" t="s">
        <v>17</v>
      </c>
    </row>
    <row r="14" spans="2:4" ht="12.75">
      <c r="B14" s="8" t="str">
        <f>CONCATENATE("Respiratory minute volume = ",C27," x (body mass)^",E27," =")</f>
        <v>Respiratory minute volume = 499 x (body mass)^0.809 =</v>
      </c>
      <c r="C14" s="20">
        <f>IF(ISBLANK(C16)=TRUE,C27*C13^E27," ")</f>
        <v>249.72797181925355</v>
      </c>
      <c r="D14" s="1" t="s">
        <v>18</v>
      </c>
    </row>
    <row r="15" spans="2:4" ht="12.75">
      <c r="B15" s="8" t="s">
        <v>19</v>
      </c>
      <c r="C15" s="21">
        <f>IF(ISBLANK(C16)=TRUE,C14/C13," ")</f>
        <v>587.5952278100084</v>
      </c>
      <c r="D15" s="1" t="s">
        <v>20</v>
      </c>
    </row>
    <row r="16" spans="2:4" ht="12.75">
      <c r="B16" s="8" t="s">
        <v>21</v>
      </c>
      <c r="C16" s="19"/>
      <c r="D16" s="1" t="s">
        <v>20</v>
      </c>
    </row>
    <row r="17" spans="2:3" ht="12.75">
      <c r="B17" s="22" t="s">
        <v>22</v>
      </c>
      <c r="C17" s="23"/>
    </row>
    <row r="18" spans="2:4" ht="12.75">
      <c r="B18" s="8" t="s">
        <v>23</v>
      </c>
      <c r="C18" s="24">
        <f>IF(ISBLANK(C16)=TRUE,(60*C11/10^6)*C15,60*C11*C16/10^6)</f>
        <v>11.838421644957473</v>
      </c>
      <c r="D18" s="1" t="s">
        <v>24</v>
      </c>
    </row>
    <row r="19" spans="2:4" ht="12.75">
      <c r="B19" s="8" t="s">
        <v>25</v>
      </c>
      <c r="C19" s="18">
        <v>6</v>
      </c>
      <c r="D19" s="1" t="s">
        <v>26</v>
      </c>
    </row>
    <row r="20" spans="2:4" ht="12.75">
      <c r="B20" s="8" t="s">
        <v>27</v>
      </c>
      <c r="C20" s="18">
        <v>5</v>
      </c>
      <c r="D20" s="1" t="s">
        <v>28</v>
      </c>
    </row>
    <row r="21" spans="2:6" ht="13.5" thickBot="1">
      <c r="B21" s="11" t="s">
        <v>29</v>
      </c>
      <c r="C21" s="25">
        <f>C18*C19*(C20/7)</f>
        <v>50.73609276410346</v>
      </c>
      <c r="D21" s="13" t="s">
        <v>10</v>
      </c>
      <c r="E21" s="13"/>
      <c r="F21" s="13"/>
    </row>
    <row r="22" spans="2:6" ht="13.5" thickTop="1">
      <c r="B22" s="75" t="s">
        <v>30</v>
      </c>
      <c r="C22" s="76"/>
      <c r="D22" s="77"/>
      <c r="E22" s="76"/>
      <c r="F22" s="76"/>
    </row>
    <row r="23" spans="2:5" ht="12.75">
      <c r="B23" s="8" t="s">
        <v>31</v>
      </c>
      <c r="C23" s="14"/>
      <c r="D23" s="14"/>
      <c r="E23" s="22"/>
    </row>
    <row r="24" spans="2:5" ht="12.75">
      <c r="B24" s="8" t="s">
        <v>32</v>
      </c>
      <c r="C24" s="14"/>
      <c r="D24" s="14"/>
      <c r="E24" s="22"/>
    </row>
    <row r="25" spans="2:5" ht="12.75">
      <c r="B25" s="8" t="s">
        <v>33</v>
      </c>
      <c r="C25" s="14"/>
      <c r="D25" s="14"/>
      <c r="E25" s="22"/>
    </row>
    <row r="26" spans="2:5" ht="12.75">
      <c r="B26" s="26" t="s">
        <v>34</v>
      </c>
      <c r="C26" s="27"/>
      <c r="D26" s="27"/>
      <c r="E26" s="22"/>
    </row>
    <row r="27" spans="2:5" ht="19.5" customHeight="1">
      <c r="B27" s="26" t="s">
        <v>35</v>
      </c>
      <c r="C27" s="28">
        <v>499</v>
      </c>
      <c r="D27" s="27" t="s">
        <v>36</v>
      </c>
      <c r="E27" s="74">
        <v>0.809</v>
      </c>
    </row>
    <row r="28" spans="2:6" ht="12.75">
      <c r="B28" s="29" t="s">
        <v>37</v>
      </c>
      <c r="C28" s="30"/>
      <c r="D28" s="30"/>
      <c r="E28" s="31"/>
      <c r="F28" s="30"/>
    </row>
    <row r="29" spans="2:5" ht="12.75">
      <c r="B29" s="1" t="s">
        <v>38</v>
      </c>
      <c r="C29" s="14"/>
      <c r="D29" s="14"/>
      <c r="E29" s="22"/>
    </row>
    <row r="30" spans="2:6" ht="13.5" thickBot="1">
      <c r="B30" s="13" t="s">
        <v>39</v>
      </c>
      <c r="C30" s="13"/>
      <c r="D30" s="13"/>
      <c r="E30" s="13"/>
      <c r="F30" s="13"/>
    </row>
    <row r="31" ht="12.75" hidden="1">
      <c r="C31" s="32">
        <v>1</v>
      </c>
    </row>
    <row r="32" spans="2:6" ht="13.5" thickTop="1">
      <c r="B32" s="76"/>
      <c r="C32" s="76"/>
      <c r="D32" s="76"/>
      <c r="E32" s="76"/>
      <c r="F32" s="76"/>
    </row>
  </sheetData>
  <sheetProtection formatCells="0"/>
  <mergeCells count="1"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H24" sqref="H24"/>
    </sheetView>
  </sheetViews>
  <sheetFormatPr defaultColWidth="8.88671875" defaultRowHeight="15"/>
  <cols>
    <col min="1" max="1" width="34.99609375" style="1" customWidth="1"/>
    <col min="2" max="2" width="9.21484375" style="1" customWidth="1"/>
    <col min="3" max="3" width="19.99609375" style="1" customWidth="1"/>
    <col min="4" max="4" width="4.5546875" style="1" customWidth="1"/>
    <col min="5" max="5" width="8.3359375" style="1" customWidth="1"/>
    <col min="6" max="6" width="6.99609375" style="1" customWidth="1"/>
    <col min="7" max="7" width="7.77734375" style="1" customWidth="1"/>
    <col min="8" max="16384" width="8.88671875" style="1" customWidth="1"/>
  </cols>
  <sheetData>
    <row r="1" spans="1:4" ht="12.75">
      <c r="A1" s="33" t="s">
        <v>40</v>
      </c>
      <c r="B1" s="34"/>
      <c r="C1" s="34"/>
      <c r="D1" s="24"/>
    </row>
    <row r="2" spans="1:5" s="4" customFormat="1" ht="15.75">
      <c r="A2" s="35"/>
      <c r="B2" s="35"/>
      <c r="D2" s="35"/>
      <c r="E2" s="36" t="s">
        <v>41</v>
      </c>
    </row>
    <row r="3" spans="1:8" s="4" customFormat="1" ht="15">
      <c r="A3" s="37"/>
      <c r="B3" s="24"/>
      <c r="D3" s="24"/>
      <c r="E3" s="38"/>
      <c r="F3" s="39" t="s">
        <v>42</v>
      </c>
      <c r="G3" s="39" t="s">
        <v>43</v>
      </c>
      <c r="H3" s="39" t="s">
        <v>44</v>
      </c>
    </row>
    <row r="4" spans="1:8" ht="12.75">
      <c r="A4" s="24"/>
      <c r="B4" s="24"/>
      <c r="D4" s="40">
        <v>1</v>
      </c>
      <c r="E4" s="1" t="s">
        <v>45</v>
      </c>
      <c r="F4" s="40">
        <v>1066.468253968254</v>
      </c>
      <c r="G4" s="40">
        <v>1203.7037037037037</v>
      </c>
      <c r="H4" s="40">
        <v>1333.3333333333335</v>
      </c>
    </row>
    <row r="5" spans="1:8" ht="12.75">
      <c r="A5" s="24"/>
      <c r="B5" s="24"/>
      <c r="D5" s="40">
        <v>2</v>
      </c>
      <c r="E5" s="1" t="s">
        <v>46</v>
      </c>
      <c r="F5" s="40">
        <v>473.8562091503268</v>
      </c>
      <c r="G5" s="40">
        <v>575.3968253968254</v>
      </c>
      <c r="H5" s="40">
        <v>800</v>
      </c>
    </row>
    <row r="6" spans="1:8" ht="12.75">
      <c r="A6" s="24"/>
      <c r="B6" s="24"/>
      <c r="D6" s="40">
        <v>3</v>
      </c>
      <c r="E6" s="1" t="s">
        <v>47</v>
      </c>
      <c r="F6" s="41" t="s">
        <v>48</v>
      </c>
      <c r="G6" s="40">
        <v>644.8412698412698</v>
      </c>
      <c r="H6" s="41" t="s">
        <v>48</v>
      </c>
    </row>
    <row r="7" spans="1:8" ht="12.75">
      <c r="A7" s="24"/>
      <c r="B7" s="24"/>
      <c r="D7" s="40">
        <v>4</v>
      </c>
      <c r="E7" s="1" t="s">
        <v>49</v>
      </c>
      <c r="F7" s="40">
        <v>597.2222222222222</v>
      </c>
      <c r="G7" s="40">
        <v>330.6878306878307</v>
      </c>
      <c r="H7" s="40">
        <v>657.1428571428572</v>
      </c>
    </row>
    <row r="8" spans="1:8" ht="12.75">
      <c r="A8" s="24"/>
      <c r="B8" s="24"/>
      <c r="D8" s="40">
        <v>5</v>
      </c>
      <c r="E8" s="1" t="s">
        <v>50</v>
      </c>
      <c r="F8" s="40">
        <v>319.44444444444446</v>
      </c>
      <c r="G8" s="40">
        <v>468.75</v>
      </c>
      <c r="H8" s="40">
        <v>291.6666666666667</v>
      </c>
    </row>
    <row r="9" spans="1:8" ht="12.75">
      <c r="A9" s="24"/>
      <c r="B9" s="24"/>
      <c r="D9" s="40">
        <v>6</v>
      </c>
      <c r="E9" s="1" t="s">
        <v>51</v>
      </c>
      <c r="F9" s="40">
        <v>250</v>
      </c>
      <c r="G9" s="40">
        <v>365.49707602339186</v>
      </c>
      <c r="H9" s="41" t="s">
        <v>48</v>
      </c>
    </row>
    <row r="10" spans="1:8" ht="12.75">
      <c r="A10" s="35"/>
      <c r="B10" s="35"/>
      <c r="D10" s="42">
        <v>7</v>
      </c>
      <c r="E10" s="1" t="s">
        <v>52</v>
      </c>
      <c r="F10" s="40">
        <v>543.4782608695652</v>
      </c>
      <c r="G10" s="40">
        <v>235.1268591426072</v>
      </c>
      <c r="H10" s="40">
        <v>360</v>
      </c>
    </row>
    <row r="11" spans="1:8" ht="12.75">
      <c r="A11" s="24"/>
      <c r="B11" s="24"/>
      <c r="D11" s="40">
        <v>8</v>
      </c>
      <c r="E11" s="30" t="s">
        <v>53</v>
      </c>
      <c r="F11" s="43">
        <v>285.7142857142857</v>
      </c>
      <c r="G11" s="43">
        <v>198.4126984126984</v>
      </c>
      <c r="H11" s="43">
        <v>285.7142857142857</v>
      </c>
    </row>
    <row r="12" spans="1:4" ht="12.75">
      <c r="A12" s="24"/>
      <c r="B12" s="24"/>
      <c r="C12" s="24"/>
      <c r="D12" s="24"/>
    </row>
    <row r="13" spans="1:3" ht="12.75">
      <c r="A13" s="24"/>
      <c r="B13" s="24"/>
      <c r="C13" s="24"/>
    </row>
    <row r="14" spans="1:3" ht="12.75">
      <c r="A14" s="24"/>
      <c r="B14" s="24"/>
      <c r="C14" s="24"/>
    </row>
    <row r="15" spans="1:3" ht="12.75">
      <c r="A15" s="24"/>
      <c r="B15" s="37" t="s">
        <v>54</v>
      </c>
      <c r="C15" s="19" t="s">
        <v>1</v>
      </c>
    </row>
    <row r="16" spans="1:4" ht="12.75">
      <c r="A16" s="44"/>
      <c r="B16" s="44"/>
      <c r="C16" s="44"/>
      <c r="D16" s="24"/>
    </row>
    <row r="17" spans="1:4" ht="12.75">
      <c r="A17" s="35"/>
      <c r="B17" s="35"/>
      <c r="C17" s="35"/>
      <c r="D17" s="24"/>
    </row>
    <row r="18" spans="1:4" ht="12.75">
      <c r="A18" s="8" t="s">
        <v>4</v>
      </c>
      <c r="B18" s="45">
        <v>200</v>
      </c>
      <c r="C18" s="1" t="str">
        <f>IF(B40=1,"ppm","mg/m³")</f>
        <v>ppm</v>
      </c>
      <c r="D18" s="24"/>
    </row>
    <row r="19" spans="1:4" ht="12.75">
      <c r="A19" s="8" t="s">
        <v>5</v>
      </c>
      <c r="B19" s="19">
        <v>41.05</v>
      </c>
      <c r="C19" s="1" t="s">
        <v>6</v>
      </c>
      <c r="D19" s="24"/>
    </row>
    <row r="20" spans="1:4" ht="12.75">
      <c r="A20" s="8" t="s">
        <v>55</v>
      </c>
      <c r="B20" s="46">
        <v>6</v>
      </c>
      <c r="C20" s="24" t="s">
        <v>56</v>
      </c>
      <c r="D20" s="24"/>
    </row>
    <row r="21" spans="1:4" ht="12.75">
      <c r="A21" s="8" t="s">
        <v>57</v>
      </c>
      <c r="B21" s="46">
        <v>5</v>
      </c>
      <c r="C21" s="24" t="s">
        <v>28</v>
      </c>
      <c r="D21" s="24"/>
    </row>
    <row r="22" spans="1:4" ht="12.75">
      <c r="A22" s="13"/>
      <c r="B22" s="13"/>
      <c r="C22" s="13"/>
      <c r="D22" s="24"/>
    </row>
    <row r="23" spans="1:4" ht="12.75">
      <c r="A23" s="8"/>
      <c r="D23" s="24"/>
    </row>
    <row r="24" spans="1:4" ht="12.75">
      <c r="A24" s="8" t="s">
        <v>58</v>
      </c>
      <c r="B24" s="8" t="str">
        <f>VLOOKUP(B38,D4:E11,2)</f>
        <v>Rat</v>
      </c>
      <c r="D24" s="24"/>
    </row>
    <row r="25" spans="1:4" ht="12.75">
      <c r="A25" s="8" t="s">
        <v>59</v>
      </c>
      <c r="B25" s="47">
        <f>IF(B40=1,(B18*B19)/24.45,B18)</f>
        <v>335.7873210633947</v>
      </c>
      <c r="C25" s="1" t="s">
        <v>3</v>
      </c>
      <c r="D25" s="24"/>
    </row>
    <row r="26" spans="1:4" ht="12.75">
      <c r="A26" s="8" t="s">
        <v>60</v>
      </c>
      <c r="B26" s="41">
        <f>VLOOKUP(B38,D4:H11,B39+2)</f>
        <v>473.8562091503268</v>
      </c>
      <c r="C26" s="24" t="s">
        <v>61</v>
      </c>
      <c r="D26" s="24"/>
    </row>
    <row r="27" spans="1:3" ht="12.75">
      <c r="A27" s="48" t="s">
        <v>62</v>
      </c>
      <c r="B27" s="17">
        <f>B20*B25*B26*60/10^6</f>
        <v>57.281366534343796</v>
      </c>
      <c r="C27" s="24" t="s">
        <v>63</v>
      </c>
    </row>
    <row r="28" spans="1:4" ht="12.75">
      <c r="A28" s="48" t="s">
        <v>64</v>
      </c>
      <c r="B28" s="49">
        <f>B27*(B21/7)</f>
        <v>40.91526181024557</v>
      </c>
      <c r="C28" s="24" t="s">
        <v>10</v>
      </c>
      <c r="D28" s="24"/>
    </row>
    <row r="29" spans="1:4" ht="12.75">
      <c r="A29" s="44"/>
      <c r="B29" s="44"/>
      <c r="C29" s="44"/>
      <c r="D29" s="24"/>
    </row>
    <row r="30" spans="1:4" ht="12.75">
      <c r="A30" s="24"/>
      <c r="B30" s="24"/>
      <c r="C30" s="24"/>
      <c r="D30" s="24"/>
    </row>
    <row r="31" spans="3:4" ht="12.75">
      <c r="C31" s="24"/>
      <c r="D31" s="24"/>
    </row>
    <row r="32" spans="1:4" ht="12.75">
      <c r="A32" s="24"/>
      <c r="B32" s="24"/>
      <c r="C32" s="24"/>
      <c r="D32" s="24"/>
    </row>
    <row r="33" spans="1:4" ht="12.75">
      <c r="A33" s="24"/>
      <c r="B33" s="24"/>
      <c r="C33" s="24"/>
      <c r="D33" s="24"/>
    </row>
    <row r="34" spans="1:4" ht="12.75">
      <c r="A34" s="24"/>
      <c r="B34" s="24"/>
      <c r="C34" s="24"/>
      <c r="D34" s="24"/>
    </row>
    <row r="35" spans="1:4" ht="12.75">
      <c r="A35" s="24"/>
      <c r="B35" s="24"/>
      <c r="C35" s="24"/>
      <c r="D35" s="24"/>
    </row>
    <row r="36" spans="1:4" ht="12.75">
      <c r="A36" s="24"/>
      <c r="B36" s="24"/>
      <c r="C36" s="24"/>
      <c r="D36" s="24"/>
    </row>
    <row r="37" spans="1:4" ht="12.75">
      <c r="A37" s="24"/>
      <c r="B37" s="24"/>
      <c r="C37" s="24"/>
      <c r="D37" s="24"/>
    </row>
    <row r="38" spans="1:4" ht="12.75">
      <c r="A38" s="24" t="s">
        <v>65</v>
      </c>
      <c r="B38" s="50">
        <v>2</v>
      </c>
      <c r="C38" s="24"/>
      <c r="D38" s="24"/>
    </row>
    <row r="39" spans="1:4" ht="12.75">
      <c r="A39" s="24" t="s">
        <v>66</v>
      </c>
      <c r="B39" s="50">
        <v>1</v>
      </c>
      <c r="C39" s="24"/>
      <c r="D39" s="24"/>
    </row>
    <row r="40" spans="1:4" ht="12.75">
      <c r="A40" s="24" t="s">
        <v>67</v>
      </c>
      <c r="B40" s="50">
        <v>1</v>
      </c>
      <c r="C40" s="24"/>
      <c r="D40" s="24"/>
    </row>
    <row r="41" spans="1:4" ht="12.75">
      <c r="A41" s="24"/>
      <c r="B41" s="24"/>
      <c r="C41" s="24"/>
      <c r="D41" s="24"/>
    </row>
    <row r="42" spans="1:4" ht="12.75">
      <c r="A42" s="24"/>
      <c r="B42" s="24"/>
      <c r="C42" s="24"/>
      <c r="D42" s="24"/>
    </row>
    <row r="43" spans="1:4" ht="12.75">
      <c r="A43" s="24"/>
      <c r="B43" s="24"/>
      <c r="C43" s="24"/>
      <c r="D43" s="24"/>
    </row>
    <row r="44" spans="1:4" ht="12.75">
      <c r="A44" s="24"/>
      <c r="B44" s="24"/>
      <c r="C44" s="24"/>
      <c r="D44" s="24"/>
    </row>
    <row r="45" spans="1:4" ht="12.75">
      <c r="A45" s="24"/>
      <c r="B45" s="24"/>
      <c r="C45" s="24"/>
      <c r="D45" s="24"/>
    </row>
    <row r="46" spans="1:4" ht="12.75">
      <c r="A46" s="24"/>
      <c r="B46" s="24"/>
      <c r="C46" s="24"/>
      <c r="D46" s="24"/>
    </row>
    <row r="47" spans="1:4" ht="12.75">
      <c r="A47" s="24"/>
      <c r="B47" s="24"/>
      <c r="C47" s="24"/>
      <c r="D47" s="24"/>
    </row>
    <row r="48" spans="1:4" ht="12.75">
      <c r="A48" s="24"/>
      <c r="B48" s="24"/>
      <c r="C48" s="24"/>
      <c r="D48" s="24"/>
    </row>
  </sheetData>
  <sheetProtection formatCells="0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7"/>
  <sheetViews>
    <sheetView showGridLines="0" tabSelected="1" workbookViewId="0" topLeftCell="A52">
      <selection activeCell="G65" sqref="G65"/>
    </sheetView>
  </sheetViews>
  <sheetFormatPr defaultColWidth="8.88671875" defaultRowHeight="15"/>
  <cols>
    <col min="1" max="1" width="7.99609375" style="51" customWidth="1"/>
    <col min="2" max="2" width="8.5546875" style="51" customWidth="1"/>
    <col min="3" max="4" width="7.99609375" style="51" customWidth="1"/>
    <col min="5" max="5" width="9.21484375" style="51" customWidth="1"/>
    <col min="6" max="16384" width="7.99609375" style="51" customWidth="1"/>
  </cols>
  <sheetData>
    <row r="1" spans="1:21" ht="15.75">
      <c r="A1" s="84" t="s">
        <v>68</v>
      </c>
      <c r="B1" s="84"/>
      <c r="C1" s="84"/>
      <c r="D1" s="84"/>
      <c r="E1" s="84"/>
      <c r="F1" s="84"/>
      <c r="T1" s="52" t="s">
        <v>17</v>
      </c>
      <c r="U1" s="52" t="s">
        <v>69</v>
      </c>
    </row>
    <row r="2" spans="2:21" ht="15.75">
      <c r="B2" s="53" t="s">
        <v>70</v>
      </c>
      <c r="C2" s="53" t="s">
        <v>71</v>
      </c>
      <c r="D2" s="53" t="s">
        <v>71</v>
      </c>
      <c r="E2" s="83" t="s">
        <v>71</v>
      </c>
      <c r="F2" s="83"/>
      <c r="R2" s="51" t="s">
        <v>42</v>
      </c>
      <c r="S2" s="51" t="s">
        <v>72</v>
      </c>
      <c r="T2" s="51">
        <v>0.028</v>
      </c>
      <c r="U2" s="51">
        <v>0.029861111111111113</v>
      </c>
    </row>
    <row r="3" spans="1:21" ht="18.75">
      <c r="A3" s="54"/>
      <c r="B3" s="55" t="s">
        <v>73</v>
      </c>
      <c r="C3" s="55" t="s">
        <v>74</v>
      </c>
      <c r="D3" s="55" t="s">
        <v>61</v>
      </c>
      <c r="E3" s="55" t="s">
        <v>75</v>
      </c>
      <c r="F3" s="55" t="s">
        <v>76</v>
      </c>
      <c r="S3" s="51" t="s">
        <v>77</v>
      </c>
      <c r="T3" s="51">
        <v>0.425</v>
      </c>
      <c r="U3" s="51">
        <v>0.2013888888888889</v>
      </c>
    </row>
    <row r="4" spans="1:23" ht="15.75">
      <c r="A4" s="51" t="s">
        <v>72</v>
      </c>
      <c r="B4" s="51">
        <v>0.028</v>
      </c>
      <c r="C4" s="56">
        <v>0.029861111111111113</v>
      </c>
      <c r="D4" s="57">
        <f aca="true" t="shared" si="0" ref="D4:D10">(C4*1000)/B4</f>
        <v>1066.468253968254</v>
      </c>
      <c r="E4" s="51">
        <v>43</v>
      </c>
      <c r="F4" s="56">
        <f>E4/1000</f>
        <v>0.043</v>
      </c>
      <c r="S4" s="51" t="s">
        <v>78</v>
      </c>
      <c r="T4" s="51">
        <v>0.5</v>
      </c>
      <c r="U4" s="51">
        <v>0.2986111111111111</v>
      </c>
      <c r="W4" s="52" t="s">
        <v>79</v>
      </c>
    </row>
    <row r="5" spans="1:21" ht="15.75">
      <c r="A5" s="51" t="s">
        <v>77</v>
      </c>
      <c r="B5" s="51">
        <v>0.425</v>
      </c>
      <c r="C5" s="56">
        <f>(E5/24)/60</f>
        <v>0.2013888888888889</v>
      </c>
      <c r="D5" s="57">
        <f t="shared" si="0"/>
        <v>473.8562091503268</v>
      </c>
      <c r="E5" s="51">
        <v>290</v>
      </c>
      <c r="F5" s="58">
        <f aca="true" t="shared" si="1" ref="F5:F10">E5/1000</f>
        <v>0.29</v>
      </c>
      <c r="S5" s="51" t="s">
        <v>80</v>
      </c>
      <c r="T5" s="51">
        <v>2.5</v>
      </c>
      <c r="U5" s="51">
        <v>0.798611111111111</v>
      </c>
    </row>
    <row r="6" spans="1:21" ht="15.75">
      <c r="A6" s="51" t="s">
        <v>78</v>
      </c>
      <c r="B6" s="51">
        <v>0.5</v>
      </c>
      <c r="C6" s="56">
        <v>0.2986111111111111</v>
      </c>
      <c r="D6" s="57">
        <f t="shared" si="0"/>
        <v>597.2222222222222</v>
      </c>
      <c r="E6" s="51">
        <v>430</v>
      </c>
      <c r="F6" s="58">
        <f t="shared" si="1"/>
        <v>0.43</v>
      </c>
      <c r="S6" s="51" t="s">
        <v>81</v>
      </c>
      <c r="T6" s="51">
        <v>4</v>
      </c>
      <c r="U6" s="51">
        <v>1</v>
      </c>
    </row>
    <row r="7" spans="1:21" ht="15.75">
      <c r="A7" s="51" t="s">
        <v>80</v>
      </c>
      <c r="B7" s="51">
        <v>2.5</v>
      </c>
      <c r="C7" s="59">
        <v>0.798611111111111</v>
      </c>
      <c r="D7" s="60">
        <f t="shared" si="0"/>
        <v>319.44444444444446</v>
      </c>
      <c r="E7" s="51">
        <v>1150</v>
      </c>
      <c r="F7" s="61">
        <f t="shared" si="1"/>
        <v>1.15</v>
      </c>
      <c r="S7" s="51" t="s">
        <v>15</v>
      </c>
      <c r="T7" s="51">
        <v>11.5</v>
      </c>
      <c r="U7" s="51">
        <v>6.25</v>
      </c>
    </row>
    <row r="8" spans="1:21" ht="15.75">
      <c r="A8" s="51" t="s">
        <v>81</v>
      </c>
      <c r="B8" s="51">
        <v>4</v>
      </c>
      <c r="C8" s="51">
        <v>1</v>
      </c>
      <c r="D8" s="57">
        <f t="shared" si="0"/>
        <v>250</v>
      </c>
      <c r="E8" s="51">
        <v>1440</v>
      </c>
      <c r="F8" s="61">
        <f t="shared" si="1"/>
        <v>1.44</v>
      </c>
      <c r="S8" s="51" t="s">
        <v>82</v>
      </c>
      <c r="T8" s="51">
        <v>70</v>
      </c>
      <c r="U8" s="51">
        <v>20</v>
      </c>
    </row>
    <row r="9" spans="1:21" ht="15.75">
      <c r="A9" s="51" t="s">
        <v>15</v>
      </c>
      <c r="B9" s="51">
        <v>11.5</v>
      </c>
      <c r="C9" s="51">
        <v>6.25</v>
      </c>
      <c r="D9" s="57">
        <f t="shared" si="0"/>
        <v>543.4782608695652</v>
      </c>
      <c r="E9" s="51">
        <v>9000</v>
      </c>
      <c r="F9" s="61">
        <f t="shared" si="1"/>
        <v>9</v>
      </c>
      <c r="R9" s="51" t="s">
        <v>83</v>
      </c>
      <c r="S9" s="51" t="s">
        <v>72</v>
      </c>
      <c r="T9" s="51">
        <v>0.025</v>
      </c>
      <c r="U9" s="56">
        <f aca="true" t="shared" si="2" ref="U9:U14">0.379*(T9^0.8)</f>
        <v>0.019814869521604626</v>
      </c>
    </row>
    <row r="10" spans="1:21" ht="15.75">
      <c r="A10" s="54" t="s">
        <v>82</v>
      </c>
      <c r="B10" s="54">
        <v>70</v>
      </c>
      <c r="C10" s="54">
        <v>20</v>
      </c>
      <c r="D10" s="62">
        <f t="shared" si="0"/>
        <v>285.7142857142857</v>
      </c>
      <c r="E10" s="54">
        <v>28800</v>
      </c>
      <c r="F10" s="63">
        <f t="shared" si="1"/>
        <v>28.8</v>
      </c>
      <c r="S10" s="51" t="s">
        <v>77</v>
      </c>
      <c r="T10" s="51">
        <v>0.25</v>
      </c>
      <c r="U10" s="56">
        <f t="shared" si="2"/>
        <v>0.12502337454573176</v>
      </c>
    </row>
    <row r="11" spans="19:21" ht="15.75">
      <c r="S11" s="51" t="s">
        <v>78</v>
      </c>
      <c r="T11" s="51">
        <v>0.5</v>
      </c>
      <c r="U11" s="56">
        <f t="shared" si="2"/>
        <v>0.21767833827193817</v>
      </c>
    </row>
    <row r="12" spans="19:21" ht="15.75">
      <c r="S12" s="51" t="s">
        <v>15</v>
      </c>
      <c r="T12" s="51">
        <v>8</v>
      </c>
      <c r="U12" s="58">
        <f t="shared" si="2"/>
        <v>2.0003739927317077</v>
      </c>
    </row>
    <row r="13" spans="1:21" ht="31.5" customHeight="1">
      <c r="A13" s="85" t="s">
        <v>84</v>
      </c>
      <c r="B13" s="85"/>
      <c r="C13" s="85"/>
      <c r="D13" s="85"/>
      <c r="E13" s="85"/>
      <c r="F13" s="85"/>
      <c r="U13" s="58"/>
    </row>
    <row r="14" spans="1:21" ht="15.75">
      <c r="A14" s="64" t="s">
        <v>85</v>
      </c>
      <c r="B14" s="54"/>
      <c r="C14" s="54"/>
      <c r="D14" s="54"/>
      <c r="E14" s="54"/>
      <c r="F14" s="54"/>
      <c r="S14" s="51" t="s">
        <v>82</v>
      </c>
      <c r="T14" s="51">
        <v>70</v>
      </c>
      <c r="U14" s="58">
        <f t="shared" si="2"/>
        <v>11.342731243989391</v>
      </c>
    </row>
    <row r="15" spans="2:21" ht="15.75">
      <c r="B15" s="53" t="s">
        <v>70</v>
      </c>
      <c r="C15" s="53" t="s">
        <v>71</v>
      </c>
      <c r="D15" s="53" t="s">
        <v>71</v>
      </c>
      <c r="E15" s="80" t="s">
        <v>71</v>
      </c>
      <c r="F15" s="80"/>
      <c r="H15" s="53" t="s">
        <v>71</v>
      </c>
      <c r="I15" s="53" t="s">
        <v>61</v>
      </c>
      <c r="R15" s="51" t="s">
        <v>86</v>
      </c>
      <c r="S15" s="51" t="s">
        <v>72</v>
      </c>
      <c r="T15" s="51">
        <v>0.025</v>
      </c>
      <c r="U15" s="56">
        <v>0.025236784116525142</v>
      </c>
    </row>
    <row r="16" spans="1:23" ht="18.75">
      <c r="A16" s="54"/>
      <c r="B16" s="55" t="s">
        <v>73</v>
      </c>
      <c r="C16" s="55" t="s">
        <v>74</v>
      </c>
      <c r="D16" s="55" t="s">
        <v>61</v>
      </c>
      <c r="E16" s="55" t="s">
        <v>75</v>
      </c>
      <c r="F16" s="55" t="s">
        <v>76</v>
      </c>
      <c r="I16" s="53" t="s">
        <v>42</v>
      </c>
      <c r="J16" s="53" t="s">
        <v>43</v>
      </c>
      <c r="K16" s="53" t="s">
        <v>44</v>
      </c>
      <c r="S16" s="51" t="s">
        <v>77</v>
      </c>
      <c r="T16" s="51">
        <v>0.25</v>
      </c>
      <c r="U16" s="56">
        <v>0.16256760688307093</v>
      </c>
      <c r="W16" s="52" t="s">
        <v>87</v>
      </c>
    </row>
    <row r="17" spans="1:23" ht="15.75">
      <c r="A17" s="51" t="s">
        <v>72</v>
      </c>
      <c r="B17" s="51">
        <v>0.025</v>
      </c>
      <c r="C17" s="56">
        <f aca="true" t="shared" si="3" ref="C17:C23">0.379*(B17^0.8)</f>
        <v>0.019814869521604626</v>
      </c>
      <c r="D17" s="57">
        <f aca="true" t="shared" si="4" ref="D17:D23">1000*C17/B17</f>
        <v>792.594780864185</v>
      </c>
      <c r="E17" s="57">
        <f aca="true" t="shared" si="5" ref="E17:E23">C17*60*24</f>
        <v>28.533412111110664</v>
      </c>
      <c r="F17" s="56">
        <f>E17/1000</f>
        <v>0.028533412111110663</v>
      </c>
      <c r="H17" s="51" t="s">
        <v>72</v>
      </c>
      <c r="I17" s="57">
        <v>1066.468253968254</v>
      </c>
      <c r="J17" s="57">
        <v>1203.7037037037037</v>
      </c>
      <c r="K17" s="57">
        <v>1333.3333333333335</v>
      </c>
      <c r="S17" s="51" t="s">
        <v>78</v>
      </c>
      <c r="T17" s="51">
        <v>0.5</v>
      </c>
      <c r="U17" s="56">
        <v>0.28481789942813</v>
      </c>
      <c r="W17" s="52" t="s">
        <v>88</v>
      </c>
    </row>
    <row r="18" spans="1:21" ht="15.75">
      <c r="A18" s="51" t="s">
        <v>77</v>
      </c>
      <c r="B18" s="51">
        <v>0.25</v>
      </c>
      <c r="C18" s="56">
        <f t="shared" si="3"/>
        <v>0.12502337454573176</v>
      </c>
      <c r="D18" s="57">
        <f t="shared" si="4"/>
        <v>500.093498182927</v>
      </c>
      <c r="E18" s="57">
        <f t="shared" si="5"/>
        <v>180.03365934585372</v>
      </c>
      <c r="F18" s="58">
        <f aca="true" t="shared" si="6" ref="F18:F23">E18/1000</f>
        <v>0.18003365934585372</v>
      </c>
      <c r="H18" s="51" t="s">
        <v>77</v>
      </c>
      <c r="I18" s="57">
        <v>473.8562091503268</v>
      </c>
      <c r="J18" s="57">
        <v>575.3968253968254</v>
      </c>
      <c r="K18" s="57">
        <v>800</v>
      </c>
      <c r="S18" s="51" t="s">
        <v>80</v>
      </c>
      <c r="T18" s="51">
        <v>3</v>
      </c>
      <c r="U18" s="56">
        <v>1.2136449152565674</v>
      </c>
    </row>
    <row r="19" spans="1:21" ht="15.75">
      <c r="A19" s="51" t="s">
        <v>78</v>
      </c>
      <c r="B19" s="51">
        <v>0.5</v>
      </c>
      <c r="C19" s="56">
        <f t="shared" si="3"/>
        <v>0.21767833827193817</v>
      </c>
      <c r="D19" s="57">
        <f t="shared" si="4"/>
        <v>435.35667654387635</v>
      </c>
      <c r="E19" s="57">
        <f t="shared" si="5"/>
        <v>313.45680711159093</v>
      </c>
      <c r="F19" s="58">
        <f t="shared" si="6"/>
        <v>0.3134568071115909</v>
      </c>
      <c r="H19" s="52" t="s">
        <v>89</v>
      </c>
      <c r="J19" s="57">
        <v>644.8412698412698</v>
      </c>
      <c r="S19" s="51" t="s">
        <v>81</v>
      </c>
      <c r="T19" s="51">
        <v>4</v>
      </c>
      <c r="U19" s="56">
        <v>1.5316766038088852</v>
      </c>
    </row>
    <row r="20" spans="1:21" ht="15.75">
      <c r="A20" s="51" t="s">
        <v>80</v>
      </c>
      <c r="B20" s="51">
        <v>3</v>
      </c>
      <c r="C20" s="59">
        <f t="shared" si="3"/>
        <v>0.9127171557213825</v>
      </c>
      <c r="D20" s="60">
        <f t="shared" si="4"/>
        <v>304.2390519071275</v>
      </c>
      <c r="E20" s="57">
        <f t="shared" si="5"/>
        <v>1314.3127042387907</v>
      </c>
      <c r="F20" s="61">
        <f t="shared" si="6"/>
        <v>1.3143127042387908</v>
      </c>
      <c r="H20" s="51" t="s">
        <v>78</v>
      </c>
      <c r="I20" s="57">
        <v>597.2222222222222</v>
      </c>
      <c r="J20" s="57">
        <v>330.6878306878307</v>
      </c>
      <c r="K20" s="57">
        <v>657.1428571428572</v>
      </c>
      <c r="S20" s="51" t="s">
        <v>15</v>
      </c>
      <c r="T20" s="51">
        <v>10</v>
      </c>
      <c r="U20" s="56">
        <v>3.2144046349207356</v>
      </c>
    </row>
    <row r="21" spans="1:21" ht="15.75">
      <c r="A21" s="51" t="s">
        <v>81</v>
      </c>
      <c r="B21" s="51">
        <v>4</v>
      </c>
      <c r="C21" s="58">
        <f t="shared" si="3"/>
        <v>1.1489131574148816</v>
      </c>
      <c r="D21" s="57">
        <f t="shared" si="4"/>
        <v>287.2282893537204</v>
      </c>
      <c r="E21" s="57">
        <f t="shared" si="5"/>
        <v>1654.4349466774297</v>
      </c>
      <c r="F21" s="61">
        <f t="shared" si="6"/>
        <v>1.6544349466774297</v>
      </c>
      <c r="H21" s="51" t="s">
        <v>80</v>
      </c>
      <c r="I21" s="57">
        <v>319.44444444444446</v>
      </c>
      <c r="J21" s="57">
        <v>468.75</v>
      </c>
      <c r="K21" s="57">
        <v>291.6666666666667</v>
      </c>
      <c r="S21" s="51" t="s">
        <v>82</v>
      </c>
      <c r="T21" s="51">
        <v>70</v>
      </c>
      <c r="U21" s="56">
        <v>15.51618181770211</v>
      </c>
    </row>
    <row r="22" spans="1:21" ht="15.75">
      <c r="A22" s="51" t="s">
        <v>15</v>
      </c>
      <c r="B22" s="51">
        <v>8</v>
      </c>
      <c r="C22" s="58">
        <f t="shared" si="3"/>
        <v>2.0003739927317077</v>
      </c>
      <c r="D22" s="57">
        <f t="shared" si="4"/>
        <v>250.04674909146345</v>
      </c>
      <c r="E22" s="57">
        <f t="shared" si="5"/>
        <v>2880.538549533659</v>
      </c>
      <c r="F22" s="61">
        <f t="shared" si="6"/>
        <v>2.880538549533659</v>
      </c>
      <c r="H22" s="51" t="s">
        <v>81</v>
      </c>
      <c r="I22" s="57">
        <v>250</v>
      </c>
      <c r="J22" s="57">
        <v>365.49707602339186</v>
      </c>
      <c r="K22" s="57"/>
      <c r="R22" s="51" t="s">
        <v>90</v>
      </c>
      <c r="S22" s="51" t="s">
        <v>72</v>
      </c>
      <c r="T22" s="51">
        <v>0.03</v>
      </c>
      <c r="U22" s="56">
        <v>0.04</v>
      </c>
    </row>
    <row r="23" spans="1:21" ht="15.75">
      <c r="A23" s="54" t="s">
        <v>82</v>
      </c>
      <c r="B23" s="54">
        <v>70</v>
      </c>
      <c r="C23" s="65">
        <f t="shared" si="3"/>
        <v>11.342731243989391</v>
      </c>
      <c r="D23" s="62">
        <f t="shared" si="4"/>
        <v>162.039017771277</v>
      </c>
      <c r="E23" s="62">
        <f t="shared" si="5"/>
        <v>16333.532991344724</v>
      </c>
      <c r="F23" s="63">
        <f t="shared" si="6"/>
        <v>16.333532991344725</v>
      </c>
      <c r="H23" s="51" t="s">
        <v>15</v>
      </c>
      <c r="I23" s="57">
        <v>543.4782608695652</v>
      </c>
      <c r="J23" s="57">
        <v>235.1268591426072</v>
      </c>
      <c r="K23" s="57">
        <v>360</v>
      </c>
      <c r="S23" s="51" t="s">
        <v>77</v>
      </c>
      <c r="T23" s="51">
        <v>0.25</v>
      </c>
      <c r="U23" s="56">
        <v>0.2</v>
      </c>
    </row>
    <row r="24" spans="8:21" ht="15.75">
      <c r="H24" s="51" t="s">
        <v>82</v>
      </c>
      <c r="I24" s="57">
        <v>285.7142857142857</v>
      </c>
      <c r="J24" s="57">
        <v>198.4126984126984</v>
      </c>
      <c r="K24" s="57">
        <v>285.7142857142857</v>
      </c>
      <c r="S24" s="51" t="s">
        <v>78</v>
      </c>
      <c r="T24" s="51">
        <v>0.7</v>
      </c>
      <c r="U24" s="56">
        <v>0.46</v>
      </c>
    </row>
    <row r="25" spans="19:21" ht="15.75">
      <c r="S25" s="51" t="s">
        <v>80</v>
      </c>
      <c r="T25" s="51">
        <v>2.4</v>
      </c>
      <c r="U25" s="56">
        <v>0.7</v>
      </c>
    </row>
    <row r="26" spans="1:21" ht="31.5" customHeight="1">
      <c r="A26" s="81" t="s">
        <v>91</v>
      </c>
      <c r="B26" s="81"/>
      <c r="C26" s="81"/>
      <c r="D26" s="81"/>
      <c r="E26" s="81"/>
      <c r="F26" s="81"/>
      <c r="U26" s="56"/>
    </row>
    <row r="27" spans="1:21" ht="15.75" customHeight="1">
      <c r="A27" s="64" t="s">
        <v>92</v>
      </c>
      <c r="B27" s="54"/>
      <c r="C27" s="54"/>
      <c r="D27" s="54"/>
      <c r="E27" s="54"/>
      <c r="F27" s="54"/>
      <c r="S27" s="51" t="s">
        <v>15</v>
      </c>
      <c r="T27" s="51">
        <v>10</v>
      </c>
      <c r="U27" s="56">
        <v>3.6</v>
      </c>
    </row>
    <row r="28" spans="2:21" ht="15.75">
      <c r="B28" s="53" t="s">
        <v>70</v>
      </c>
      <c r="C28" s="53" t="s">
        <v>71</v>
      </c>
      <c r="D28" s="53" t="s">
        <v>71</v>
      </c>
      <c r="E28" s="80" t="s">
        <v>71</v>
      </c>
      <c r="F28" s="80"/>
      <c r="S28" s="51" t="s">
        <v>82</v>
      </c>
      <c r="T28" s="51">
        <v>70</v>
      </c>
      <c r="U28" s="56">
        <v>20</v>
      </c>
    </row>
    <row r="29" spans="1:21" ht="18.75">
      <c r="A29" s="54"/>
      <c r="B29" s="55" t="s">
        <v>73</v>
      </c>
      <c r="C29" s="55" t="s">
        <v>74</v>
      </c>
      <c r="D29" s="55" t="s">
        <v>61</v>
      </c>
      <c r="E29" s="55" t="s">
        <v>75</v>
      </c>
      <c r="F29" s="55" t="s">
        <v>76</v>
      </c>
      <c r="R29" s="51" t="s">
        <v>43</v>
      </c>
      <c r="S29" s="51" t="s">
        <v>82</v>
      </c>
      <c r="T29" s="51">
        <v>70</v>
      </c>
      <c r="U29" s="51">
        <v>13.88888888888889</v>
      </c>
    </row>
    <row r="30" spans="1:21" ht="15.75">
      <c r="A30" s="66" t="s">
        <v>72</v>
      </c>
      <c r="B30" s="66">
        <v>0.025</v>
      </c>
      <c r="C30" s="67">
        <f aca="true" t="shared" si="7" ref="C30:C36">0.499*(B30^0.809)</f>
        <v>0.025236784116525142</v>
      </c>
      <c r="D30" s="68">
        <f aca="true" t="shared" si="8" ref="D30:D36">1000*C30/B30</f>
        <v>1009.4713646610057</v>
      </c>
      <c r="E30" s="68">
        <f aca="true" t="shared" si="9" ref="E30:E36">C30*60*24</f>
        <v>36.34096912779621</v>
      </c>
      <c r="F30" s="56">
        <f aca="true" t="shared" si="10" ref="F30:F36">E30/1000</f>
        <v>0.036340969127796205</v>
      </c>
      <c r="S30" s="51" t="s">
        <v>72</v>
      </c>
      <c r="T30" s="51">
        <v>0.03</v>
      </c>
      <c r="U30" s="51">
        <v>0.03611111111111111</v>
      </c>
    </row>
    <row r="31" spans="1:21" ht="15.75">
      <c r="A31" s="66" t="s">
        <v>77</v>
      </c>
      <c r="B31" s="66">
        <v>0.25</v>
      </c>
      <c r="C31" s="67">
        <f t="shared" si="7"/>
        <v>0.16256760688307093</v>
      </c>
      <c r="D31" s="68">
        <f t="shared" si="8"/>
        <v>650.2704275322837</v>
      </c>
      <c r="E31" s="68">
        <f t="shared" si="9"/>
        <v>234.09735391162212</v>
      </c>
      <c r="F31" s="58">
        <f t="shared" si="10"/>
        <v>0.23409735391162212</v>
      </c>
      <c r="S31" s="51" t="s">
        <v>77</v>
      </c>
      <c r="T31" s="51">
        <v>0.35</v>
      </c>
      <c r="U31" s="51">
        <v>0.2013888888888889</v>
      </c>
    </row>
    <row r="32" spans="1:21" ht="15.75">
      <c r="A32" s="51" t="s">
        <v>78</v>
      </c>
      <c r="B32" s="51">
        <v>0.5</v>
      </c>
      <c r="C32" s="56">
        <f t="shared" si="7"/>
        <v>0.28481789942813</v>
      </c>
      <c r="D32" s="57">
        <f t="shared" si="8"/>
        <v>569.6357988562601</v>
      </c>
      <c r="E32" s="57">
        <f t="shared" si="9"/>
        <v>410.13777517650726</v>
      </c>
      <c r="F32" s="58">
        <f t="shared" si="10"/>
        <v>0.41013777517650724</v>
      </c>
      <c r="S32" s="51" t="s">
        <v>89</v>
      </c>
      <c r="T32" s="51">
        <v>0.14</v>
      </c>
      <c r="U32" s="51">
        <v>0.09027777777777778</v>
      </c>
    </row>
    <row r="33" spans="1:21" ht="15.75">
      <c r="A33" s="51" t="s">
        <v>80</v>
      </c>
      <c r="B33" s="51">
        <v>3</v>
      </c>
      <c r="C33" s="59">
        <f t="shared" si="7"/>
        <v>1.2136449152565674</v>
      </c>
      <c r="D33" s="60">
        <f t="shared" si="8"/>
        <v>404.5483050855225</v>
      </c>
      <c r="E33" s="57">
        <f t="shared" si="9"/>
        <v>1747.6486779694571</v>
      </c>
      <c r="F33" s="61">
        <f t="shared" si="10"/>
        <v>1.747648677969457</v>
      </c>
      <c r="S33" s="51" t="s">
        <v>78</v>
      </c>
      <c r="T33" s="51">
        <v>0.84</v>
      </c>
      <c r="U33" s="51">
        <v>0.2777777777777778</v>
      </c>
    </row>
    <row r="34" spans="1:21" ht="15.75">
      <c r="A34" s="51" t="s">
        <v>81</v>
      </c>
      <c r="B34" s="51">
        <v>4</v>
      </c>
      <c r="C34" s="56">
        <f t="shared" si="7"/>
        <v>1.5316766038088852</v>
      </c>
      <c r="D34" s="57">
        <f t="shared" si="8"/>
        <v>382.9191509522213</v>
      </c>
      <c r="E34" s="57">
        <f t="shared" si="9"/>
        <v>2205.6143094847944</v>
      </c>
      <c r="F34" s="61">
        <f t="shared" si="10"/>
        <v>2.2056143094847944</v>
      </c>
      <c r="S34" s="51" t="s">
        <v>81</v>
      </c>
      <c r="T34" s="51">
        <v>3.8</v>
      </c>
      <c r="U34" s="51">
        <v>1.3888888888888888</v>
      </c>
    </row>
    <row r="35" spans="1:21" ht="15.75">
      <c r="A35" s="51" t="s">
        <v>15</v>
      </c>
      <c r="B35" s="51">
        <v>10</v>
      </c>
      <c r="C35" s="56">
        <f t="shared" si="7"/>
        <v>3.2144046349207356</v>
      </c>
      <c r="D35" s="57">
        <f t="shared" si="8"/>
        <v>321.44046349207355</v>
      </c>
      <c r="E35" s="57">
        <f t="shared" si="9"/>
        <v>4628.74267428586</v>
      </c>
      <c r="F35" s="61">
        <f t="shared" si="10"/>
        <v>4.62874267428586</v>
      </c>
      <c r="S35" s="51" t="s">
        <v>93</v>
      </c>
      <c r="T35" s="51">
        <v>3</v>
      </c>
      <c r="U35" s="51">
        <v>0.8333333333333333</v>
      </c>
    </row>
    <row r="36" spans="1:21" ht="15.75">
      <c r="A36" s="54" t="s">
        <v>82</v>
      </c>
      <c r="B36" s="54">
        <v>70</v>
      </c>
      <c r="C36" s="69">
        <f t="shared" si="7"/>
        <v>15.51618181770211</v>
      </c>
      <c r="D36" s="62">
        <f t="shared" si="8"/>
        <v>221.6597402528873</v>
      </c>
      <c r="E36" s="62">
        <f t="shared" si="9"/>
        <v>22343.30181749104</v>
      </c>
      <c r="F36" s="63">
        <f t="shared" si="10"/>
        <v>22.34330181749104</v>
      </c>
      <c r="S36" s="51" t="s">
        <v>15</v>
      </c>
      <c r="T36" s="51">
        <v>12.7</v>
      </c>
      <c r="U36" s="51">
        <v>2.986111111111111</v>
      </c>
    </row>
    <row r="37" spans="1:5" ht="15.75">
      <c r="A37" s="66"/>
      <c r="B37" s="66"/>
      <c r="C37" s="67"/>
      <c r="D37" s="68"/>
      <c r="E37" s="68"/>
    </row>
    <row r="38" spans="19:21" ht="15.75">
      <c r="S38" s="51" t="s">
        <v>80</v>
      </c>
      <c r="T38" s="51">
        <v>8</v>
      </c>
      <c r="U38" s="51">
        <v>3.75</v>
      </c>
    </row>
    <row r="39" spans="1:6" ht="31.5" customHeight="1">
      <c r="A39" s="82" t="s">
        <v>94</v>
      </c>
      <c r="B39" s="82"/>
      <c r="C39" s="82"/>
      <c r="D39" s="82"/>
      <c r="E39" s="82"/>
      <c r="F39" s="82"/>
    </row>
    <row r="40" spans="1:6" ht="15.75">
      <c r="A40" s="53"/>
      <c r="B40" s="53" t="s">
        <v>95</v>
      </c>
      <c r="C40" s="53" t="s">
        <v>71</v>
      </c>
      <c r="D40" s="53" t="s">
        <v>71</v>
      </c>
      <c r="E40" s="83" t="s">
        <v>71</v>
      </c>
      <c r="F40" s="83"/>
    </row>
    <row r="41" spans="1:6" ht="18.75">
      <c r="A41" s="55"/>
      <c r="B41" s="55" t="s">
        <v>73</v>
      </c>
      <c r="C41" s="55" t="s">
        <v>74</v>
      </c>
      <c r="D41" s="55" t="s">
        <v>61</v>
      </c>
      <c r="E41" s="55" t="s">
        <v>75</v>
      </c>
      <c r="F41" s="55" t="s">
        <v>76</v>
      </c>
    </row>
    <row r="42" spans="1:6" ht="15.75">
      <c r="A42" s="51" t="s">
        <v>72</v>
      </c>
      <c r="B42" s="51">
        <v>0.03</v>
      </c>
      <c r="C42" s="56">
        <v>0.04</v>
      </c>
      <c r="D42" s="57">
        <f aca="true" t="shared" si="11" ref="D42:D47">1000*C42/B42</f>
        <v>1333.3333333333335</v>
      </c>
      <c r="E42" s="57">
        <f aca="true" t="shared" si="12" ref="E42:E47">C42*60*24</f>
        <v>57.599999999999994</v>
      </c>
      <c r="F42" s="56">
        <f aca="true" t="shared" si="13" ref="F42:F47">E42/1000</f>
        <v>0.05759999999999999</v>
      </c>
    </row>
    <row r="43" spans="1:6" ht="15.75">
      <c r="A43" s="51" t="s">
        <v>77</v>
      </c>
      <c r="B43" s="51">
        <v>0.25</v>
      </c>
      <c r="C43" s="56">
        <v>0.2</v>
      </c>
      <c r="D43" s="57">
        <f t="shared" si="11"/>
        <v>800</v>
      </c>
      <c r="E43" s="57">
        <f t="shared" si="12"/>
        <v>288</v>
      </c>
      <c r="F43" s="58">
        <f t="shared" si="13"/>
        <v>0.288</v>
      </c>
    </row>
    <row r="44" spans="1:6" ht="15.75">
      <c r="A44" s="51" t="s">
        <v>78</v>
      </c>
      <c r="B44" s="51">
        <v>0.7</v>
      </c>
      <c r="C44" s="56">
        <v>0.46</v>
      </c>
      <c r="D44" s="57">
        <f t="shared" si="11"/>
        <v>657.1428571428572</v>
      </c>
      <c r="E44" s="57">
        <f t="shared" si="12"/>
        <v>662.4000000000001</v>
      </c>
      <c r="F44" s="58">
        <f t="shared" si="13"/>
        <v>0.6624000000000001</v>
      </c>
    </row>
    <row r="45" spans="1:6" ht="15.75">
      <c r="A45" s="51" t="s">
        <v>80</v>
      </c>
      <c r="B45" s="51">
        <v>2.4</v>
      </c>
      <c r="C45" s="59">
        <v>0.7</v>
      </c>
      <c r="D45" s="60">
        <f t="shared" si="11"/>
        <v>291.6666666666667</v>
      </c>
      <c r="E45" s="57">
        <f t="shared" si="12"/>
        <v>1008</v>
      </c>
      <c r="F45" s="61">
        <f t="shared" si="13"/>
        <v>1.008</v>
      </c>
    </row>
    <row r="46" spans="1:6" ht="15.75">
      <c r="A46" s="51" t="s">
        <v>15</v>
      </c>
      <c r="B46" s="51">
        <v>10</v>
      </c>
      <c r="C46" s="56">
        <v>3.6</v>
      </c>
      <c r="D46" s="57">
        <f t="shared" si="11"/>
        <v>360</v>
      </c>
      <c r="E46" s="57">
        <f t="shared" si="12"/>
        <v>5184</v>
      </c>
      <c r="F46" s="61">
        <f t="shared" si="13"/>
        <v>5.184</v>
      </c>
    </row>
    <row r="47" spans="1:6" ht="15.75">
      <c r="A47" s="54" t="s">
        <v>82</v>
      </c>
      <c r="B47" s="54">
        <v>70</v>
      </c>
      <c r="C47" s="69">
        <v>20</v>
      </c>
      <c r="D47" s="62">
        <f t="shared" si="11"/>
        <v>285.7142857142857</v>
      </c>
      <c r="E47" s="62">
        <f t="shared" si="12"/>
        <v>28800</v>
      </c>
      <c r="F47" s="54">
        <f t="shared" si="13"/>
        <v>28.8</v>
      </c>
    </row>
    <row r="51" spans="1:6" ht="15.75">
      <c r="A51" s="64" t="s">
        <v>96</v>
      </c>
      <c r="B51" s="54"/>
      <c r="C51" s="54"/>
      <c r="D51" s="54"/>
      <c r="E51" s="54"/>
      <c r="F51" s="54"/>
    </row>
    <row r="52" spans="1:6" ht="15.75">
      <c r="A52" s="53"/>
      <c r="B52" s="53" t="s">
        <v>95</v>
      </c>
      <c r="C52" s="53" t="s">
        <v>71</v>
      </c>
      <c r="D52" s="53" t="s">
        <v>71</v>
      </c>
      <c r="E52" s="80" t="s">
        <v>71</v>
      </c>
      <c r="F52" s="80"/>
    </row>
    <row r="53" spans="1:6" ht="18.75">
      <c r="A53" s="55"/>
      <c r="B53" s="55" t="s">
        <v>73</v>
      </c>
      <c r="C53" s="55" t="s">
        <v>74</v>
      </c>
      <c r="D53" s="55" t="s">
        <v>61</v>
      </c>
      <c r="E53" s="55" t="s">
        <v>75</v>
      </c>
      <c r="F53" s="55" t="s">
        <v>76</v>
      </c>
    </row>
    <row r="54" spans="1:6" ht="15.75">
      <c r="A54" s="51" t="s">
        <v>72</v>
      </c>
      <c r="B54" s="51">
        <v>0.03</v>
      </c>
      <c r="C54" s="56">
        <f aca="true" t="shared" si="14" ref="C54:C62">(D54*B54)/1000</f>
        <v>0.03611111111111111</v>
      </c>
      <c r="D54" s="57">
        <f aca="true" t="shared" si="15" ref="D54:D62">(E54/(24*60)*1000/B54)</f>
        <v>1203.7037037037037</v>
      </c>
      <c r="E54" s="51">
        <f aca="true" t="shared" si="16" ref="E54:E62">F54*1000</f>
        <v>52</v>
      </c>
      <c r="F54" s="51">
        <v>0.052</v>
      </c>
    </row>
    <row r="55" spans="1:6" ht="15.75">
      <c r="A55" s="51" t="s">
        <v>77</v>
      </c>
      <c r="B55" s="51">
        <v>0.35</v>
      </c>
      <c r="C55" s="56">
        <f t="shared" si="14"/>
        <v>0.2013888888888889</v>
      </c>
      <c r="D55" s="57">
        <f t="shared" si="15"/>
        <v>575.3968253968254</v>
      </c>
      <c r="E55" s="51">
        <f t="shared" si="16"/>
        <v>290</v>
      </c>
      <c r="F55" s="51">
        <v>0.29</v>
      </c>
    </row>
    <row r="56" spans="1:6" ht="15.75">
      <c r="A56" s="51" t="s">
        <v>89</v>
      </c>
      <c r="B56" s="51">
        <v>0.14</v>
      </c>
      <c r="C56" s="56">
        <f t="shared" si="14"/>
        <v>0.09027777777777778</v>
      </c>
      <c r="D56" s="57">
        <f t="shared" si="15"/>
        <v>644.8412698412698</v>
      </c>
      <c r="E56" s="51">
        <f t="shared" si="16"/>
        <v>130</v>
      </c>
      <c r="F56" s="51">
        <v>0.13</v>
      </c>
    </row>
    <row r="57" spans="1:6" ht="15.75">
      <c r="A57" s="51" t="s">
        <v>78</v>
      </c>
      <c r="B57" s="51">
        <v>0.84</v>
      </c>
      <c r="C57" s="56">
        <f t="shared" si="14"/>
        <v>0.2777777777777778</v>
      </c>
      <c r="D57" s="57">
        <f t="shared" si="15"/>
        <v>330.6878306878307</v>
      </c>
      <c r="E57" s="51">
        <f t="shared" si="16"/>
        <v>400</v>
      </c>
      <c r="F57" s="51">
        <v>0.4</v>
      </c>
    </row>
    <row r="58" spans="1:6" ht="15.75">
      <c r="A58" s="51" t="s">
        <v>81</v>
      </c>
      <c r="B58" s="51">
        <v>3.8</v>
      </c>
      <c r="C58" s="58">
        <f t="shared" si="14"/>
        <v>1.3888888888888888</v>
      </c>
      <c r="D58" s="57">
        <f t="shared" si="15"/>
        <v>365.49707602339186</v>
      </c>
      <c r="E58" s="51">
        <f t="shared" si="16"/>
        <v>2000</v>
      </c>
      <c r="F58" s="51">
        <v>2</v>
      </c>
    </row>
    <row r="59" spans="1:6" ht="15.75">
      <c r="A59" s="51" t="s">
        <v>93</v>
      </c>
      <c r="B59" s="51">
        <v>3</v>
      </c>
      <c r="C59" s="58">
        <f t="shared" si="14"/>
        <v>0.8333333333333333</v>
      </c>
      <c r="D59" s="57">
        <f t="shared" si="15"/>
        <v>277.77777777777777</v>
      </c>
      <c r="E59" s="51">
        <f t="shared" si="16"/>
        <v>1200</v>
      </c>
      <c r="F59" s="51">
        <v>1.2</v>
      </c>
    </row>
    <row r="60" spans="1:6" ht="15.75">
      <c r="A60" s="66" t="s">
        <v>80</v>
      </c>
      <c r="B60" s="66">
        <v>8</v>
      </c>
      <c r="C60" s="70">
        <f t="shared" si="14"/>
        <v>3.75</v>
      </c>
      <c r="D60" s="71">
        <f t="shared" si="15"/>
        <v>468.75</v>
      </c>
      <c r="E60" s="66">
        <f t="shared" si="16"/>
        <v>5400</v>
      </c>
      <c r="F60" s="66">
        <v>5.4</v>
      </c>
    </row>
    <row r="61" spans="1:6" ht="15.75">
      <c r="A61" s="66" t="s">
        <v>15</v>
      </c>
      <c r="B61" s="66">
        <v>12.7</v>
      </c>
      <c r="C61" s="72">
        <f t="shared" si="14"/>
        <v>2.986111111111111</v>
      </c>
      <c r="D61" s="68">
        <f t="shared" si="15"/>
        <v>235.1268591426072</v>
      </c>
      <c r="E61" s="66">
        <f t="shared" si="16"/>
        <v>4300</v>
      </c>
      <c r="F61" s="66">
        <v>4.3</v>
      </c>
    </row>
    <row r="62" spans="1:6" ht="15.75">
      <c r="A62" s="54" t="s">
        <v>82</v>
      </c>
      <c r="B62" s="54">
        <v>70</v>
      </c>
      <c r="C62" s="65">
        <f t="shared" si="14"/>
        <v>13.88888888888889</v>
      </c>
      <c r="D62" s="62">
        <f t="shared" si="15"/>
        <v>198.4126984126984</v>
      </c>
      <c r="E62" s="54">
        <f t="shared" si="16"/>
        <v>20000</v>
      </c>
      <c r="F62" s="63">
        <v>20</v>
      </c>
    </row>
    <row r="65" spans="1:4" ht="15.75">
      <c r="A65" s="73" t="s">
        <v>97</v>
      </c>
      <c r="B65" s="54"/>
      <c r="C65" s="54"/>
      <c r="D65" s="55"/>
    </row>
    <row r="66" spans="2:4" ht="15.75">
      <c r="B66" s="64" t="s">
        <v>98</v>
      </c>
      <c r="C66" s="55" t="s">
        <v>99</v>
      </c>
      <c r="D66" s="55" t="s">
        <v>100</v>
      </c>
    </row>
    <row r="67" spans="2:4" ht="15.75">
      <c r="B67" s="52" t="s">
        <v>43</v>
      </c>
      <c r="C67" s="51">
        <v>0.456</v>
      </c>
      <c r="D67" s="56">
        <v>0.791</v>
      </c>
    </row>
    <row r="68" spans="2:4" ht="15.75">
      <c r="B68" s="52" t="s">
        <v>90</v>
      </c>
      <c r="C68" s="51">
        <v>0.567</v>
      </c>
      <c r="D68" s="56">
        <v>0.79</v>
      </c>
    </row>
    <row r="69" spans="2:4" ht="15.75">
      <c r="B69" s="52" t="s">
        <v>101</v>
      </c>
      <c r="C69" s="51">
        <v>0.499</v>
      </c>
      <c r="D69" s="56">
        <v>0.809</v>
      </c>
    </row>
    <row r="70" spans="2:4" ht="15.75">
      <c r="B70" s="52" t="s">
        <v>83</v>
      </c>
      <c r="C70" s="51">
        <v>0.379</v>
      </c>
      <c r="D70" s="56">
        <v>0.8</v>
      </c>
    </row>
    <row r="71" spans="2:4" ht="15.75">
      <c r="B71" s="64" t="s">
        <v>42</v>
      </c>
      <c r="C71" s="69">
        <v>0.49</v>
      </c>
      <c r="D71" s="69">
        <v>0.847</v>
      </c>
    </row>
    <row r="72" spans="2:4" ht="15.75">
      <c r="B72" s="52" t="s">
        <v>102</v>
      </c>
      <c r="C72" s="56">
        <f>AVERAGE(C67:C71)</f>
        <v>0.4782</v>
      </c>
      <c r="D72" s="56">
        <f>AVERAGE(D67:D71)</f>
        <v>0.8074000000000001</v>
      </c>
    </row>
    <row r="73" spans="2:4" ht="15.75">
      <c r="B73" s="64" t="s">
        <v>103</v>
      </c>
      <c r="C73" s="69">
        <f>MEDIAN(C67:C71)</f>
        <v>0.49</v>
      </c>
      <c r="D73" s="69">
        <f>MEDIAN(D67:D71)</f>
        <v>0.8</v>
      </c>
    </row>
    <row r="74" ht="15.75">
      <c r="A74" s="66"/>
    </row>
    <row r="75" ht="15.75">
      <c r="A75" s="66"/>
    </row>
    <row r="76" ht="15.75">
      <c r="A76" s="66"/>
    </row>
    <row r="77" ht="15.75">
      <c r="A77" s="66"/>
    </row>
  </sheetData>
  <sheetProtection/>
  <mergeCells count="9">
    <mergeCell ref="A1:F1"/>
    <mergeCell ref="E2:F2"/>
    <mergeCell ref="A13:F13"/>
    <mergeCell ref="E15:F15"/>
    <mergeCell ref="E52:F52"/>
    <mergeCell ref="A26:F26"/>
    <mergeCell ref="E28:F28"/>
    <mergeCell ref="A39:F39"/>
    <mergeCell ref="E40:F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wmvogel</cp:lastModifiedBy>
  <dcterms:modified xsi:type="dcterms:W3CDTF">2008-05-09T19:59:37Z</dcterms:modified>
  <cp:category/>
  <cp:version/>
  <cp:contentType/>
  <cp:contentStatus/>
</cp:coreProperties>
</file>