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Rodent Food" sheetId="1" r:id="rId1"/>
    <sheet name="Rodent Water" sheetId="2" r:id="rId2"/>
    <sheet name="Dog Food or Water" sheetId="3" r:id="rId3"/>
    <sheet name="Rodent NTP data" sheetId="4" r:id="rId4"/>
  </sheets>
  <definedNames>
    <definedName name="Excel_BuiltIn_Print_Area_3">'Dog Food or Water'!$B$1:$J$28</definedName>
    <definedName name="Excel_BuiltIn_Print_Area_1">'Rodent Food'!$B$1:$J$28</definedName>
    <definedName name="Excel_BuiltIn_Print_Area_2">'Rodent Water'!$B$1:$J$28</definedName>
  </definedNames>
  <calcPr fullCalcOnLoad="1"/>
</workbook>
</file>

<file path=xl/sharedStrings.xml><?xml version="1.0" encoding="utf-8"?>
<sst xmlns="http://schemas.openxmlformats.org/spreadsheetml/2006/main" count="698" uniqueCount="446">
  <si>
    <t>Conversion from Dietary Concentration to mg/kg Dose</t>
  </si>
  <si>
    <t>Species:</t>
  </si>
  <si>
    <t>Study Duration:</t>
  </si>
  <si>
    <t>Rat</t>
  </si>
  <si>
    <r>
      <t>£</t>
    </r>
    <r>
      <rPr>
        <sz val="10"/>
        <rFont val="Arial"/>
        <family val="2"/>
      </rPr>
      <t xml:space="preserve"> 1-month study</t>
    </r>
  </si>
  <si>
    <t>Mouse</t>
  </si>
  <si>
    <t>~3-month study</t>
  </si>
  <si>
    <t>~6-month study</t>
  </si>
  <si>
    <t>Dietary Concentration Units:</t>
  </si>
  <si>
    <t>&gt; 6-month study</t>
  </si>
  <si>
    <t>percent in diet</t>
  </si>
  <si>
    <t>parts per million in diet</t>
  </si>
  <si>
    <t>mg/kg of food</t>
  </si>
  <si>
    <t>Enter Dietary Concentration Here:</t>
  </si>
  <si>
    <t>Multiply by</t>
  </si>
  <si>
    <t>to convert to mg Test Article/g of Food</t>
  </si>
  <si>
    <t>Dietary concentration =</t>
  </si>
  <si>
    <t>mg Test Article/g of Food</t>
  </si>
  <si>
    <t>Assumed daily food consumption =</t>
  </si>
  <si>
    <t>g Food/kg Body Weight</t>
  </si>
  <si>
    <t>Daily dose =</t>
  </si>
  <si>
    <t>mg/kg/day</t>
  </si>
  <si>
    <t>Calculations are based on the following approximate food consumptions from:</t>
  </si>
  <si>
    <t>Derelanko MJ, Hollinger MA, editors. CRC Handbook of Toxicology. Boca Raton: CRC Press, 1995:87.</t>
  </si>
  <si>
    <t>Food Consumption (g/kg):</t>
  </si>
  <si>
    <t>Rats</t>
  </si>
  <si>
    <t>Mice</t>
  </si>
  <si>
    <t>%</t>
  </si>
  <si>
    <t>ppm</t>
  </si>
  <si>
    <t>units</t>
  </si>
  <si>
    <t>Species</t>
  </si>
  <si>
    <t>duration</t>
  </si>
  <si>
    <t>Conversion from Drinking Water Concentration to mg/kg Dose</t>
  </si>
  <si>
    <t>subchronic study</t>
  </si>
  <si>
    <t>chronic study</t>
  </si>
  <si>
    <t xml:space="preserve"> Concentration Units:</t>
  </si>
  <si>
    <t>Water Consumption (mL/kg):</t>
  </si>
  <si>
    <t>percent in water</t>
  </si>
  <si>
    <t>parts per million in water</t>
  </si>
  <si>
    <t>subchronic studies</t>
  </si>
  <si>
    <t>chronic studies</t>
  </si>
  <si>
    <t>Enter Drinking Water Concentration:</t>
  </si>
  <si>
    <t>to convert to mg Test Article/mL of Water</t>
  </si>
  <si>
    <t>Drinking water concentration =</t>
  </si>
  <si>
    <t>mg Test Article/mL of Water</t>
  </si>
  <si>
    <t>Assumed daily water consumption =</t>
  </si>
  <si>
    <t>mL Water/kg Body Weight</t>
  </si>
  <si>
    <t>Water consumption values are average measured values from NTP 13-wk and 2-yr drinking water studies.</t>
  </si>
  <si>
    <t xml:space="preserve">Studies: </t>
  </si>
  <si>
    <t>TR-432</t>
  </si>
  <si>
    <t>TR-436</t>
  </si>
  <si>
    <t>TR-470</t>
  </si>
  <si>
    <t>TR-477</t>
  </si>
  <si>
    <t xml:space="preserve">TR-495 </t>
  </si>
  <si>
    <t>Concentration Units:</t>
  </si>
  <si>
    <t>Administered in:</t>
  </si>
  <si>
    <t>percent in diet or water</t>
  </si>
  <si>
    <t>food</t>
  </si>
  <si>
    <t>parts per million in diet or water</t>
  </si>
  <si>
    <t>drinking water</t>
  </si>
  <si>
    <t>mg/kg of food or mg/L of water</t>
  </si>
  <si>
    <t>Calculations are based on the following approximate food &amp; water intake from:</t>
  </si>
  <si>
    <t>Derelanko MJ, Hollinger MA, editors. CRC Handbook of Toxicology. Boca Raton: CRC Press, 1995:643.</t>
  </si>
  <si>
    <t>Food consumption = 25 g/kg body wt</t>
  </si>
  <si>
    <t>Water consumption = 50 mL/kg body wt</t>
  </si>
  <si>
    <t>Enter Concentration in Food or Water:</t>
  </si>
  <si>
    <t>Concentration =</t>
  </si>
  <si>
    <t>Assumed daily food or water intake =</t>
  </si>
  <si>
    <t>% in food</t>
  </si>
  <si>
    <t>% in drinking water</t>
  </si>
  <si>
    <t>ppm in food</t>
  </si>
  <si>
    <t>ppm in drinking water</t>
  </si>
  <si>
    <t>mg/L of drinking water</t>
  </si>
  <si>
    <t>route</t>
  </si>
  <si>
    <t>Sodium Nitrite</t>
  </si>
  <si>
    <t>t-butyl alcohol</t>
  </si>
  <si>
    <t>pyridine</t>
  </si>
  <si>
    <t>Barium Cl</t>
  </si>
  <si>
    <t>1-chloro-2-propanol</t>
  </si>
  <si>
    <t>mg/kg</t>
  </si>
  <si>
    <t>Water Consumption (mL/kg body wt/day) in NTP drinking water studies</t>
  </si>
  <si>
    <t>mg/mL</t>
  </si>
  <si>
    <t>male</t>
  </si>
  <si>
    <t>female</t>
  </si>
  <si>
    <t>mL H2O/kg</t>
  </si>
  <si>
    <t>TR-405</t>
  </si>
  <si>
    <t>TR-510</t>
  </si>
  <si>
    <t>TR-511</t>
  </si>
  <si>
    <t>TR-517</t>
  </si>
  <si>
    <t>TR-532</t>
  </si>
  <si>
    <t>TR-537</t>
  </si>
  <si>
    <t>mean</t>
  </si>
  <si>
    <t>2-yr</t>
  </si>
  <si>
    <t>2-year</t>
  </si>
  <si>
    <t>3-month</t>
  </si>
  <si>
    <t>14 wk</t>
  </si>
  <si>
    <t>14-wk</t>
  </si>
  <si>
    <t>CI Acid Red 114</t>
  </si>
  <si>
    <t>Urethane and Ethanol TR-510</t>
  </si>
  <si>
    <t>mice only</t>
  </si>
  <si>
    <t>control</t>
  </si>
  <si>
    <t>Lo</t>
  </si>
  <si>
    <t>Mid</t>
  </si>
  <si>
    <t>High</t>
  </si>
  <si>
    <t>mL/kg</t>
  </si>
  <si>
    <t>week</t>
  </si>
  <si>
    <t>water (mL)</t>
  </si>
  <si>
    <t>BW (g)</t>
  </si>
  <si>
    <t>Avg</t>
  </si>
  <si>
    <t>13-wk</t>
  </si>
  <si>
    <t>init</t>
  </si>
  <si>
    <r>
      <t xml:space="preserve"> </t>
    </r>
    <r>
      <rPr>
        <sz val="8"/>
        <color indexed="63"/>
        <rFont val="Arial"/>
        <family val="2"/>
      </rPr>
      <t xml:space="preserve">1-13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</si>
  <si>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4.49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</si>
  <si>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29.20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</si>
  <si>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4.46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</si>
  <si>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29.77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</si>
  <si>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4.48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</si>
  <si>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28.78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</si>
  <si>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4.35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</si>
  <si>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29.90 </t>
    </r>
    <r>
      <rPr>
        <sz val="10"/>
        <rFont val="Arial"/>
        <family val="2"/>
      </rPr>
      <t xml:space="preserve"> </t>
    </r>
  </si>
  <si>
    <t>mice</t>
  </si>
  <si>
    <r>
      <t xml:space="preserve"> </t>
    </r>
    <r>
      <rPr>
        <sz val="8"/>
        <color indexed="63"/>
        <rFont val="Arial"/>
        <family val="2"/>
      </rPr>
      <t xml:space="preserve">14-52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</si>
  <si>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4.70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</si>
  <si>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43.09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</si>
  <si>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4.90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</si>
  <si>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42.59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</si>
  <si>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4.75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</si>
  <si>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41.98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</si>
  <si>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4.62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</si>
  <si>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53-104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</si>
  <si>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46.38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</si>
  <si>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45.46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</si>
  <si>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45.15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</si>
  <si>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43.79 </t>
    </r>
    <r>
      <rPr>
        <sz val="10"/>
        <rFont val="Arial"/>
        <family val="2"/>
      </rPr>
      <t xml:space="preserve"> </t>
    </r>
  </si>
  <si>
    <t>from 2-yr</t>
  </si>
  <si>
    <r>
      <t xml:space="preserve"> </t>
    </r>
    <r>
      <rPr>
        <sz val="8"/>
        <color indexed="63"/>
        <rFont val="Arial"/>
        <family val="2"/>
      </rPr>
      <t xml:space="preserve">4.41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</si>
  <si>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29.87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</si>
  <si>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4.12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</si>
  <si>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29.01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</si>
  <si>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4.09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</si>
  <si>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29.07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</si>
  <si>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4.07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</si>
  <si>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29.49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</si>
  <si>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42.65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</si>
  <si>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4.04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</si>
  <si>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42.88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</si>
  <si>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4.33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</si>
  <si>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41.96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</si>
  <si>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4.10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</si>
  <si>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42.92 </t>
    </r>
    <r>
      <rPr>
        <sz val="10"/>
        <rFont val="Arial"/>
        <family val="2"/>
      </rPr>
      <t xml:space="preserve"> </t>
    </r>
  </si>
  <si>
    <t>rats</t>
  </si>
  <si>
    <r>
      <t xml:space="preserve"> </t>
    </r>
    <r>
      <rPr>
        <sz val="8"/>
        <color indexed="63"/>
        <rFont val="Arial"/>
        <family val="2"/>
      </rPr>
      <t xml:space="preserve">4.00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</si>
  <si>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44.50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</si>
  <si>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3.84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</si>
  <si>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44.53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</si>
  <si>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45.31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</si>
  <si>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3.92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</si>
  <si>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43.71 </t>
    </r>
    <r>
      <rPr>
        <sz val="10"/>
        <rFont val="Arial"/>
        <family val="2"/>
      </rPr>
      <t xml:space="preserve"> </t>
    </r>
  </si>
  <si>
    <t>not done</t>
  </si>
  <si>
    <t>mg/L</t>
  </si>
  <si>
    <r>
      <t xml:space="preserve"> </t>
    </r>
    <r>
      <rPr>
        <sz val="8"/>
        <color indexed="63"/>
        <rFont val="Arial"/>
        <family val="2"/>
      </rPr>
      <t xml:space="preserve">3.89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</si>
  <si>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29.25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</si>
  <si>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3.79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</si>
  <si>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29.08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</si>
  <si>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3.82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</si>
  <si>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29.29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</si>
  <si>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3.83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</si>
  <si>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29.84 </t>
    </r>
    <r>
      <rPr>
        <sz val="10"/>
        <rFont val="Arial"/>
        <family val="2"/>
      </rPr>
      <t xml:space="preserve"> </t>
    </r>
  </si>
  <si>
    <t>3-mo =&gt;</t>
  </si>
  <si>
    <t>mL/day</t>
  </si>
  <si>
    <t>BW</t>
  </si>
  <si>
    <r>
      <t xml:space="preserve"> </t>
    </r>
    <r>
      <rPr>
        <sz val="8"/>
        <color indexed="63"/>
        <rFont val="Arial"/>
        <family val="2"/>
      </rPr>
      <t xml:space="preserve">3.74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</si>
  <si>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43.02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</si>
  <si>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3.67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</si>
  <si>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42.48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</si>
  <si>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3.85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</si>
  <si>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42.41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</si>
  <si>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3.88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</si>
  <si>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43.49 </t>
    </r>
    <r>
      <rPr>
        <sz val="10"/>
        <rFont val="Arial"/>
        <family val="2"/>
      </rPr>
      <t xml:space="preserve"> </t>
    </r>
  </si>
  <si>
    <t>male -&gt;</t>
  </si>
  <si>
    <r>
      <t xml:space="preserve"> </t>
    </r>
    <r>
      <rPr>
        <sz val="8"/>
        <color indexed="63"/>
        <rFont val="Arial"/>
        <family val="2"/>
      </rPr>
      <t xml:space="preserve">3.26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</si>
  <si>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45.40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</si>
  <si>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3.44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</si>
  <si>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44.58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</si>
  <si>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3.48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</si>
  <si>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44.69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</si>
  <si>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43.25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</si>
  <si>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3.14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</si>
  <si>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21.32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</si>
  <si>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3.07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</si>
  <si>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21.57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</si>
  <si>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3.05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</si>
  <si>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21.09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</si>
  <si>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21.34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</si>
  <si>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3.30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</si>
  <si>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31.85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</si>
  <si>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32.31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</si>
  <si>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3.27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</si>
  <si>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31.83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</si>
  <si>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3.19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</si>
  <si>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33.16 </t>
    </r>
    <r>
      <rPr>
        <sz val="10"/>
        <rFont val="Arial"/>
        <family val="2"/>
      </rPr>
      <t xml:space="preserve"> </t>
    </r>
  </si>
  <si>
    <t>2 yr=&gt;</t>
  </si>
  <si>
    <r>
      <t xml:space="preserve"> </t>
    </r>
    <r>
      <rPr>
        <sz val="8"/>
        <color indexed="63"/>
        <rFont val="Arial"/>
        <family val="2"/>
      </rPr>
      <t xml:space="preserve">47.88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</si>
  <si>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3.32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</si>
  <si>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48.03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</si>
  <si>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3.56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</si>
  <si>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48.43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</si>
  <si>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3.42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</si>
  <si>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45.58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</si>
  <si>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3.16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</si>
  <si>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22.07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</si>
  <si>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3.15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</si>
  <si>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21.51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</si>
  <si>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3.01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</si>
  <si>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21.36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</si>
  <si>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21.24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</si>
  <si>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3.18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</si>
  <si>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34.49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</si>
  <si>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3.29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</si>
  <si>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32.74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</si>
  <si>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3.17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</si>
  <si>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32.26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</si>
  <si>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3.10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</si>
  <si>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32.41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</si>
  <si>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2.90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</si>
  <si>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48.51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</si>
  <si>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3.11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</si>
  <si>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46.79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</si>
  <si>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3.25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</si>
  <si>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45.68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</si>
  <si>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43.72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</si>
  <si>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3.00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</si>
  <si>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21.35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</si>
  <si>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3.08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</si>
  <si>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21.54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</si>
  <si>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3.21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</si>
  <si>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3.38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</si>
  <si>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32.00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</si>
  <si>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3.23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</si>
  <si>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31.91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</si>
  <si>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3.22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</si>
  <si>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33.09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</si>
  <si>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2.94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</si>
  <si>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45.13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</si>
  <si>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3.09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</si>
  <si>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46.10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</si>
  <si>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3.20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</si>
  <si>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46.73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</si>
  <si>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45.48 </t>
    </r>
    <r>
      <rPr>
        <sz val="10"/>
        <rFont val="Arial"/>
        <family val="2"/>
      </rPr>
      <t xml:space="preserve"> </t>
    </r>
  </si>
  <si>
    <t xml:space="preserve">TR-511 </t>
  </si>
  <si>
    <t>Dipropylene Glycol</t>
  </si>
  <si>
    <t>female -&gt;</t>
  </si>
  <si>
    <r>
      <t xml:space="preserve"> </t>
    </r>
    <r>
      <rPr>
        <sz val="8"/>
        <color indexed="63"/>
        <rFont val="Arial"/>
        <family val="2"/>
      </rPr>
      <t xml:space="preserve">17.6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</si>
  <si>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200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</si>
  <si>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17.3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</si>
  <si>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198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</si>
  <si>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18.0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</si>
  <si>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197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</si>
  <si>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16.3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</si>
  <si>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184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</si>
  <si>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17.9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</si>
  <si>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446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</si>
  <si>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441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</si>
  <si>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427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</si>
  <si>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</si>
  <si>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383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</si>
  <si>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53-102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</si>
  <si>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17.1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</si>
  <si>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512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</si>
  <si>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17.0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</si>
  <si>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513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</si>
  <si>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494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</si>
  <si>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33.2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</si>
  <si>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392 </t>
    </r>
    <r>
      <rPr>
        <sz val="10"/>
        <rFont val="Arial"/>
        <family val="2"/>
      </rPr>
      <t xml:space="preserve"> </t>
    </r>
  </si>
  <si>
    <t>Female</t>
  </si>
  <si>
    <r>
      <t xml:space="preserve"> </t>
    </r>
    <r>
      <rPr>
        <sz val="8"/>
        <color indexed="63"/>
        <rFont val="Arial"/>
        <family val="2"/>
      </rPr>
      <t xml:space="preserve">13.8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</si>
  <si>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138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</si>
  <si>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14.0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</si>
  <si>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137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</si>
  <si>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13.5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</si>
  <si>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136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</si>
  <si>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11.2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</si>
  <si>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129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</si>
  <si>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12.8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</si>
  <si>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236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</si>
  <si>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233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</si>
  <si>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12.2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</si>
  <si>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12.1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</si>
  <si>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206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</si>
  <si>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12.7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</si>
  <si>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327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</si>
  <si>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13.2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</si>
  <si>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317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</si>
  <si>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323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</si>
  <si>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277 </t>
    </r>
    <r>
      <rPr>
        <sz val="10"/>
        <rFont val="Arial"/>
        <family val="2"/>
      </rPr>
      <t xml:space="preserve"> </t>
    </r>
  </si>
  <si>
    <t>Male</t>
  </si>
  <si>
    <r>
      <t xml:space="preserve"> </t>
    </r>
    <r>
      <rPr>
        <sz val="8"/>
        <color indexed="63"/>
        <rFont val="Arial"/>
        <family val="2"/>
      </rPr>
      <t xml:space="preserve">2-13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</si>
  <si>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</si>
  <si>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29.7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</si>
  <si>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</si>
  <si>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30.0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</si>
  <si>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</si>
  <si>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28.2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</si>
  <si>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1.6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</si>
  <si>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24.8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</si>
  <si>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</si>
  <si>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48.7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</si>
  <si>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48.6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</si>
  <si>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</si>
  <si>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47.4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</si>
  <si>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</si>
  <si>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41.9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</si>
  <si>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</si>
  <si>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52.4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</si>
  <si>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3.7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</si>
  <si>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51.0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</si>
  <si>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</si>
  <si>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44.3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</si>
  <si>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</si>
  <si>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22.2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</si>
  <si>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</si>
  <si>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21.4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</si>
  <si>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20.9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</si>
  <si>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</si>
  <si>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48.5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</si>
  <si>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</si>
  <si>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47.1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</si>
  <si>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47.0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</si>
  <si>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2.9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</si>
  <si>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58.9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</si>
  <si>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57.0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</si>
  <si>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57.3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</si>
  <si>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63"/>
        <rFont val="Arial"/>
        <family val="2"/>
      </rPr>
      <t xml:space="preserve">53.7 </t>
    </r>
    <r>
      <rPr>
        <sz val="10"/>
        <rFont val="Arial"/>
        <family val="2"/>
      </rPr>
      <t xml:space="preserve"> </t>
    </r>
  </si>
  <si>
    <t>Sodium Chlorate</t>
  </si>
  <si>
    <r>
      <t xml:space="preserve"> </t>
    </r>
    <r>
      <rPr>
        <sz val="8"/>
        <color indexed="8"/>
        <rFont val="Arial"/>
        <family val="2"/>
      </rPr>
      <t xml:space="preserve">1-13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</si>
  <si>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16.1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</si>
  <si>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</si>
  <si>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16.4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</si>
  <si>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</si>
  <si>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16.6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</si>
  <si>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</si>
  <si>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17.1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</si>
  <si>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</si>
  <si>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14-52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</si>
  <si>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14.3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</si>
  <si>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430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</si>
  <si>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14.5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</si>
  <si>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433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</si>
  <si>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14.6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</si>
  <si>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438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</si>
  <si>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15.0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</si>
  <si>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439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</si>
  <si>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53-104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</si>
  <si>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14.9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</si>
  <si>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502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</si>
  <si>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15.3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</si>
  <si>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500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</si>
  <si>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15.4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</si>
  <si>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506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</si>
  <si>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16.0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</si>
  <si>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503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</si>
  <si>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12.1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</si>
  <si>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165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</si>
  <si>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12.5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</si>
  <si>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166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</si>
  <si>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12.4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</si>
  <si>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12.3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</si>
  <si>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164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</si>
  <si>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10.6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</si>
  <si>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235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</si>
  <si>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11.1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</si>
  <si>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239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</si>
  <si>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10.7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</si>
  <si>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238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</si>
  <si>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10.9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</si>
  <si>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234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</si>
  <si>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12.6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</si>
  <si>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319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</si>
  <si>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12.7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</si>
  <si>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324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</si>
  <si>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13.0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</si>
  <si>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327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</si>
  <si>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13.2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</si>
  <si>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316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</si>
  <si>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</si>
  <si>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33.6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</si>
  <si>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</si>
  <si>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33.1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</si>
  <si>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33.3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</si>
  <si>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</si>
  <si>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33.5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</si>
  <si>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50.2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</si>
  <si>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49.4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</si>
  <si>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49.7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</si>
  <si>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</si>
  <si>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51.8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</si>
  <si>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</si>
  <si>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51.2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</si>
  <si>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51.5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</si>
  <si>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</si>
  <si>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51.7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</si>
  <si>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</si>
  <si>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27.2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</si>
  <si>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26.7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</si>
  <si>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27.0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</si>
  <si>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26.2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</si>
  <si>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</si>
  <si>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52.0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</si>
  <si>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51.6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</si>
  <si>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</si>
  <si>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50.7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</si>
  <si>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</si>
  <si>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63.9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</si>
  <si>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</si>
  <si>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61.0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</si>
  <si>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</si>
  <si>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61.5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</si>
  <si>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</si>
  <si>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62.0 </t>
    </r>
    <r>
      <rPr>
        <sz val="10"/>
        <rFont val="Arial"/>
        <family val="2"/>
      </rPr>
      <t xml:space="preserve"> </t>
    </r>
  </si>
  <si>
    <t>Bromodichloromethane</t>
  </si>
  <si>
    <r>
      <t xml:space="preserve"> </t>
    </r>
    <r>
      <rPr>
        <sz val="8"/>
        <color indexed="8"/>
        <rFont val="Arial"/>
        <family val="2"/>
      </rPr>
      <t xml:space="preserve">268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</si>
  <si>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15.6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</si>
  <si>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261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</si>
  <si>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262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</si>
  <si>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441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</si>
  <si>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428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</si>
  <si>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427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</si>
  <si>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14.0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</si>
  <si>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423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</si>
  <si>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507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</si>
  <si>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494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</si>
  <si>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493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</si>
  <si>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484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</si>
  <si>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</si>
  <si>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24.1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</si>
  <si>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</si>
  <si>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24.3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</si>
  <si>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2.1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</si>
  <si>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23.9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</si>
  <si>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52.2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</si>
  <si>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45.5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</si>
  <si>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2.2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</si>
  <si>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46.9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</si>
  <si>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45.4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</si>
  <si>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58.8 </t>
    </r>
    <r>
      <rPr>
        <sz val="10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</si>
  <si>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59.0 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</si>
</sst>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%"/>
    <numFmt numFmtId="166" formatCode="#,##0.000"/>
    <numFmt numFmtId="167" formatCode="0%"/>
    <numFmt numFmtId="168" formatCode="0.0000"/>
    <numFmt numFmtId="169" formatCode="&quot;TRUE&quot;;&quot;TRUE&quot;;&quot;FALSE&quot;"/>
    <numFmt numFmtId="170" formatCode="0"/>
    <numFmt numFmtId="171" formatCode="0.0"/>
    <numFmt numFmtId="172" formatCode="GENERAL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8"/>
      <color indexed="63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2" fillId="0" borderId="0" xfId="0" applyFont="1" applyAlignment="1" applyProtection="1">
      <alignment/>
      <protection locked="0"/>
    </xf>
    <xf numFmtId="164" fontId="0" fillId="0" borderId="0" xfId="0" applyFont="1" applyAlignment="1">
      <alignment horizontal="right" vertical="center"/>
    </xf>
    <xf numFmtId="164" fontId="0" fillId="0" borderId="0" xfId="0" applyFont="1" applyAlignment="1" applyProtection="1">
      <alignment/>
      <protection locked="0"/>
    </xf>
    <xf numFmtId="164" fontId="4" fillId="0" borderId="0" xfId="0" applyFont="1" applyAlignment="1">
      <alignment horizontal="right" vertical="center"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vertical="center"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19" applyFont="1" applyFill="1" applyBorder="1" applyAlignment="1" applyProtection="1">
      <alignment/>
      <protection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horizontal="right"/>
    </xf>
    <xf numFmtId="168" fontId="0" fillId="0" borderId="1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4" fillId="0" borderId="0" xfId="0" applyFont="1" applyAlignment="1">
      <alignment horizontal="right"/>
    </xf>
    <xf numFmtId="164" fontId="0" fillId="0" borderId="3" xfId="0" applyFont="1" applyBorder="1" applyAlignment="1">
      <alignment horizontal="right"/>
    </xf>
    <xf numFmtId="164" fontId="0" fillId="0" borderId="3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9" fontId="0" fillId="0" borderId="0" xfId="0" applyNumberFormat="1" applyFont="1" applyAlignment="1" applyProtection="1">
      <alignment/>
      <protection locked="0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4" xfId="0" applyFont="1" applyBorder="1" applyAlignment="1">
      <alignment horizontal="right"/>
    </xf>
    <xf numFmtId="164" fontId="3" fillId="0" borderId="0" xfId="0" applyFont="1" applyAlignment="1">
      <alignment/>
    </xf>
    <xf numFmtId="170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70" fontId="0" fillId="0" borderId="4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0" xfId="0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Border="1" applyAlignment="1">
      <alignment/>
    </xf>
    <xf numFmtId="165" fontId="0" fillId="0" borderId="0" xfId="19" applyNumberFormat="1" applyFont="1" applyFill="1" applyBorder="1" applyAlignment="1" applyProtection="1">
      <alignment/>
      <protection/>
    </xf>
    <xf numFmtId="164" fontId="0" fillId="2" borderId="0" xfId="0" applyFill="1" applyAlignment="1">
      <alignment/>
    </xf>
    <xf numFmtId="164" fontId="0" fillId="0" borderId="1" xfId="0" applyBorder="1" applyAlignment="1">
      <alignment/>
    </xf>
    <xf numFmtId="171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0" xfId="0" applyBorder="1" applyAlignment="1">
      <alignment/>
    </xf>
    <xf numFmtId="170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70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41"/>
  <sheetViews>
    <sheetView showGridLines="0" tabSelected="1" workbookViewId="0" topLeftCell="A1">
      <selection activeCell="E14" sqref="E14"/>
    </sheetView>
  </sheetViews>
  <sheetFormatPr defaultColWidth="9.140625" defaultRowHeight="12.75"/>
  <cols>
    <col min="1" max="1" width="3.28125" style="1" customWidth="1"/>
    <col min="2" max="2" width="18.8515625" style="1" customWidth="1"/>
    <col min="3" max="3" width="8.28125" style="1" customWidth="1"/>
    <col min="4" max="4" width="7.57421875" style="1" customWidth="1"/>
    <col min="5" max="5" width="12.140625" style="1" customWidth="1"/>
    <col min="6" max="6" width="8.140625" style="1" customWidth="1"/>
    <col min="7" max="7" width="7.57421875" style="1" customWidth="1"/>
    <col min="8" max="8" width="7.421875" style="1" customWidth="1"/>
    <col min="9" max="9" width="10.00390625" style="1" customWidth="1"/>
    <col min="10" max="16384" width="9.140625" style="1" customWidth="1"/>
  </cols>
  <sheetData>
    <row r="1" ht="18">
      <c r="B1" s="2" t="s">
        <v>0</v>
      </c>
    </row>
    <row r="3" spans="3:7" s="3" customFormat="1" ht="17.25" customHeight="1">
      <c r="C3" s="4" t="s">
        <v>1</v>
      </c>
      <c r="D3" s="5"/>
      <c r="G3" s="4" t="s">
        <v>2</v>
      </c>
    </row>
    <row r="4" spans="3:8" ht="17.25" customHeight="1">
      <c r="C4" s="6" t="s">
        <v>3</v>
      </c>
      <c r="D4" s="7"/>
      <c r="G4" s="8" t="s">
        <v>4</v>
      </c>
      <c r="H4" s="9"/>
    </row>
    <row r="5" spans="3:8" ht="17.25" customHeight="1">
      <c r="C5" s="6" t="s">
        <v>5</v>
      </c>
      <c r="D5" s="7"/>
      <c r="G5" s="6" t="s">
        <v>6</v>
      </c>
      <c r="H5" s="9"/>
    </row>
    <row r="6" spans="6:12" s="3" customFormat="1" ht="17.25" customHeight="1">
      <c r="F6" s="1"/>
      <c r="G6" s="6" t="s">
        <v>7</v>
      </c>
      <c r="H6" s="5"/>
      <c r="K6" s="10"/>
      <c r="L6" s="1"/>
    </row>
    <row r="7" spans="3:8" ht="17.25" customHeight="1">
      <c r="C7" s="4" t="s">
        <v>8</v>
      </c>
      <c r="G7" s="6" t="s">
        <v>9</v>
      </c>
      <c r="H7" s="9"/>
    </row>
    <row r="8" spans="2:4" ht="17.25" customHeight="1">
      <c r="B8" s="11"/>
      <c r="C8" s="6" t="s">
        <v>10</v>
      </c>
      <c r="D8" s="9"/>
    </row>
    <row r="9" spans="2:4" ht="17.25" customHeight="1">
      <c r="B9" s="11"/>
      <c r="C9" s="6" t="s">
        <v>11</v>
      </c>
      <c r="D9" s="9"/>
    </row>
    <row r="10" spans="2:4" ht="17.25" customHeight="1">
      <c r="B10" s="11"/>
      <c r="C10" s="6" t="s">
        <v>12</v>
      </c>
      <c r="D10" s="9"/>
    </row>
    <row r="11" spans="2:10" ht="15.75">
      <c r="B11" s="12"/>
      <c r="C11" s="12"/>
      <c r="D11" s="12"/>
      <c r="E11" s="12"/>
      <c r="F11" s="12"/>
      <c r="G11" s="12"/>
      <c r="H11" s="12"/>
      <c r="I11" s="12"/>
      <c r="J11" s="12"/>
    </row>
    <row r="12" spans="2:9" ht="15.75">
      <c r="B12" s="13"/>
      <c r="C12" s="13"/>
      <c r="D12" s="13"/>
      <c r="E12" s="13"/>
      <c r="F12" s="13"/>
      <c r="G12" s="13"/>
      <c r="H12" s="13"/>
      <c r="I12" s="13"/>
    </row>
    <row r="13" spans="4:11" ht="15.75">
      <c r="D13" s="4" t="s">
        <v>13</v>
      </c>
      <c r="E13" s="14">
        <v>0.06</v>
      </c>
      <c r="F13" s="1" t="str">
        <f>VLOOKUP(F39,F35:G37,2,FALSE)</f>
        <v>%</v>
      </c>
      <c r="K13" s="15"/>
    </row>
    <row r="14" spans="4:6" ht="15.75">
      <c r="D14" s="16" t="s">
        <v>14</v>
      </c>
      <c r="E14" s="17">
        <f>VLOOKUP(F39,F35:H37,3,FALSE)</f>
        <v>10</v>
      </c>
      <c r="F14" s="1" t="s">
        <v>15</v>
      </c>
    </row>
    <row r="15" spans="4:6" ht="15.75">
      <c r="D15" s="16" t="s">
        <v>16</v>
      </c>
      <c r="E15" s="17">
        <f>E14*E13</f>
        <v>0.6</v>
      </c>
      <c r="F15" s="1" t="s">
        <v>17</v>
      </c>
    </row>
    <row r="16" spans="4:6" ht="15.75">
      <c r="D16" s="16" t="s">
        <v>18</v>
      </c>
      <c r="E16" s="17">
        <f>VLOOKUP(F41,B35:D38,H40,FALSE)</f>
        <v>165</v>
      </c>
      <c r="F16" s="1" t="s">
        <v>19</v>
      </c>
    </row>
    <row r="17" spans="2:10" ht="15.75">
      <c r="B17" s="12"/>
      <c r="C17" s="12"/>
      <c r="D17" s="18" t="s">
        <v>20</v>
      </c>
      <c r="E17" s="19">
        <f>E16*E15</f>
        <v>99</v>
      </c>
      <c r="F17" s="12" t="s">
        <v>21</v>
      </c>
      <c r="G17" s="12"/>
      <c r="H17" s="12"/>
      <c r="I17" s="12"/>
      <c r="J17" s="12"/>
    </row>
    <row r="19" ht="15.75">
      <c r="B19" s="1" t="s">
        <v>22</v>
      </c>
    </row>
    <row r="20" ht="15.75">
      <c r="B20" s="1" t="s">
        <v>23</v>
      </c>
    </row>
    <row r="21" spans="2:4" ht="15.75">
      <c r="B21" s="20"/>
      <c r="C21" s="20"/>
      <c r="D21" s="20"/>
    </row>
    <row r="22" spans="2:4" ht="15.75">
      <c r="B22" s="1" t="s">
        <v>24</v>
      </c>
      <c r="D22" s="21"/>
    </row>
    <row r="23" spans="2:4" ht="15.75">
      <c r="B23" s="22"/>
      <c r="C23" s="23" t="s">
        <v>25</v>
      </c>
      <c r="D23" s="23" t="s">
        <v>26</v>
      </c>
    </row>
    <row r="24" spans="2:4" ht="15.75">
      <c r="B24" s="24" t="s">
        <v>4</v>
      </c>
      <c r="C24" s="21">
        <v>100</v>
      </c>
      <c r="D24" s="21">
        <v>250</v>
      </c>
    </row>
    <row r="25" spans="2:4" ht="15.75">
      <c r="B25" s="16" t="s">
        <v>6</v>
      </c>
      <c r="C25" s="21">
        <v>80</v>
      </c>
      <c r="D25" s="21">
        <v>215</v>
      </c>
    </row>
    <row r="26" spans="2:4" ht="15.75">
      <c r="B26" s="16" t="s">
        <v>7</v>
      </c>
      <c r="C26" s="21">
        <v>70</v>
      </c>
      <c r="D26" s="21">
        <v>190</v>
      </c>
    </row>
    <row r="27" spans="2:4" ht="15.75">
      <c r="B27" s="25" t="s">
        <v>9</v>
      </c>
      <c r="C27" s="26">
        <v>50</v>
      </c>
      <c r="D27" s="26">
        <v>165</v>
      </c>
    </row>
    <row r="35" spans="2:8" ht="12.75" hidden="1">
      <c r="B35" s="1">
        <v>1</v>
      </c>
      <c r="C35" s="27">
        <v>100</v>
      </c>
      <c r="D35" s="27">
        <v>250</v>
      </c>
      <c r="F35" s="1">
        <v>1</v>
      </c>
      <c r="G35" s="1" t="s">
        <v>27</v>
      </c>
      <c r="H35" s="1">
        <v>10</v>
      </c>
    </row>
    <row r="36" spans="2:8" ht="12.75" hidden="1">
      <c r="B36" s="1">
        <v>2</v>
      </c>
      <c r="C36" s="27">
        <v>80</v>
      </c>
      <c r="D36" s="27">
        <v>215</v>
      </c>
      <c r="F36" s="1">
        <v>2</v>
      </c>
      <c r="G36" s="1" t="s">
        <v>28</v>
      </c>
      <c r="H36" s="1">
        <f>1/1000</f>
        <v>0.001</v>
      </c>
    </row>
    <row r="37" spans="2:8" ht="12.75" hidden="1">
      <c r="B37" s="1">
        <v>3</v>
      </c>
      <c r="C37" s="27">
        <v>70</v>
      </c>
      <c r="D37" s="27">
        <v>190</v>
      </c>
      <c r="F37" s="1">
        <v>3</v>
      </c>
      <c r="G37" s="1" t="s">
        <v>12</v>
      </c>
      <c r="H37" s="1">
        <f>1/1000</f>
        <v>0.001</v>
      </c>
    </row>
    <row r="38" spans="2:4" ht="12.75" hidden="1">
      <c r="B38" s="1">
        <v>4</v>
      </c>
      <c r="C38" s="27">
        <v>50</v>
      </c>
      <c r="D38" s="27">
        <v>165</v>
      </c>
    </row>
    <row r="39" spans="6:7" ht="12.75" hidden="1">
      <c r="F39" s="28" t="b">
        <v>0</v>
      </c>
      <c r="G39" s="1" t="s">
        <v>29</v>
      </c>
    </row>
    <row r="40" spans="6:8" ht="12.75" hidden="1">
      <c r="F40" s="28" t="b">
        <v>0</v>
      </c>
      <c r="G40" s="1" t="s">
        <v>30</v>
      </c>
      <c r="H40" s="1">
        <f>F40+1</f>
        <v>3</v>
      </c>
    </row>
    <row r="41" spans="6:7" ht="12.75" hidden="1">
      <c r="F41" s="28" t="b">
        <v>0</v>
      </c>
      <c r="G41" s="1" t="s">
        <v>31</v>
      </c>
    </row>
  </sheetData>
  <sheetProtection formatCells="0" formatRows="0" insertColumns="0" sort="0" pivotTables="0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41"/>
  <sheetViews>
    <sheetView showGridLines="0" workbookViewId="0" topLeftCell="A1">
      <selection activeCell="I24" sqref="I24"/>
    </sheetView>
  </sheetViews>
  <sheetFormatPr defaultColWidth="9.140625" defaultRowHeight="12.75"/>
  <cols>
    <col min="1" max="1" width="3.28125" style="1" customWidth="1"/>
    <col min="2" max="2" width="18.8515625" style="1" customWidth="1"/>
    <col min="3" max="3" width="8.28125" style="1" customWidth="1"/>
    <col min="4" max="4" width="7.57421875" style="1" customWidth="1"/>
    <col min="5" max="5" width="12.140625" style="1" customWidth="1"/>
    <col min="6" max="6" width="8.7109375" style="1" customWidth="1"/>
    <col min="7" max="7" width="7.8515625" style="1" customWidth="1"/>
    <col min="8" max="8" width="7.421875" style="1" customWidth="1"/>
    <col min="9" max="9" width="10.00390625" style="1" customWidth="1"/>
    <col min="10" max="16384" width="9.140625" style="1" customWidth="1"/>
  </cols>
  <sheetData>
    <row r="1" ht="18">
      <c r="B1" s="2" t="s">
        <v>32</v>
      </c>
    </row>
    <row r="3" spans="3:7" s="3" customFormat="1" ht="17.25" customHeight="1">
      <c r="C3" s="4" t="s">
        <v>1</v>
      </c>
      <c r="D3" s="5"/>
      <c r="G3" s="4" t="s">
        <v>2</v>
      </c>
    </row>
    <row r="4" spans="3:8" ht="17.25" customHeight="1">
      <c r="C4" s="6" t="s">
        <v>3</v>
      </c>
      <c r="D4" s="7"/>
      <c r="G4" s="6" t="s">
        <v>33</v>
      </c>
      <c r="H4" s="9"/>
    </row>
    <row r="5" spans="3:8" ht="17.25" customHeight="1">
      <c r="C5" s="6" t="s">
        <v>5</v>
      </c>
      <c r="D5" s="7"/>
      <c r="G5" s="6" t="s">
        <v>34</v>
      </c>
      <c r="H5" s="9"/>
    </row>
    <row r="6" spans="11:12" s="3" customFormat="1" ht="17.25" customHeight="1">
      <c r="K6" s="10"/>
      <c r="L6" s="1"/>
    </row>
    <row r="7" spans="3:9" ht="17.25" customHeight="1">
      <c r="C7" s="4" t="s">
        <v>35</v>
      </c>
      <c r="F7" s="29"/>
      <c r="G7" s="30" t="s">
        <v>36</v>
      </c>
      <c r="H7" s="30"/>
      <c r="I7" s="31"/>
    </row>
    <row r="8" spans="2:9" ht="17.25" customHeight="1">
      <c r="B8" s="11"/>
      <c r="C8" s="6" t="s">
        <v>37</v>
      </c>
      <c r="D8" s="9"/>
      <c r="F8" s="32"/>
      <c r="G8" s="22"/>
      <c r="H8" s="23" t="s">
        <v>25</v>
      </c>
      <c r="I8" s="33" t="s">
        <v>26</v>
      </c>
    </row>
    <row r="9" spans="2:9" ht="17.25" customHeight="1">
      <c r="B9" s="11"/>
      <c r="C9" s="6" t="s">
        <v>38</v>
      </c>
      <c r="D9" s="9"/>
      <c r="F9" s="32"/>
      <c r="G9" s="27" t="s">
        <v>39</v>
      </c>
      <c r="H9" s="21">
        <v>90</v>
      </c>
      <c r="I9" s="34">
        <v>190</v>
      </c>
    </row>
    <row r="10" spans="2:9" ht="17.25" customHeight="1">
      <c r="B10" s="11"/>
      <c r="C10" s="6"/>
      <c r="D10" s="9"/>
      <c r="F10" s="35"/>
      <c r="G10" s="36" t="s">
        <v>40</v>
      </c>
      <c r="H10" s="23">
        <v>55</v>
      </c>
      <c r="I10" s="33">
        <v>100</v>
      </c>
    </row>
    <row r="11" spans="2:10" ht="15.75">
      <c r="B11" s="12"/>
      <c r="C11" s="12"/>
      <c r="D11" s="12"/>
      <c r="E11" s="12"/>
      <c r="F11" s="12"/>
      <c r="G11" s="12"/>
      <c r="H11" s="12"/>
      <c r="I11" s="12"/>
      <c r="J11" s="12"/>
    </row>
    <row r="12" spans="2:9" ht="15.75">
      <c r="B12" s="13"/>
      <c r="C12" s="13"/>
      <c r="D12" s="13"/>
      <c r="E12" s="13"/>
      <c r="F12" s="13"/>
      <c r="G12" s="13"/>
      <c r="H12" s="13"/>
      <c r="I12" s="13"/>
    </row>
    <row r="13" spans="4:11" ht="15.75">
      <c r="D13" s="4" t="s">
        <v>41</v>
      </c>
      <c r="E13" s="14">
        <v>100</v>
      </c>
      <c r="F13" s="1" t="str">
        <f>VLOOKUP(F39,F35:G37,2,FALSE)</f>
        <v>ppm</v>
      </c>
      <c r="K13" s="15"/>
    </row>
    <row r="14" spans="4:6" ht="15.75">
      <c r="D14" s="16" t="s">
        <v>14</v>
      </c>
      <c r="E14" s="17">
        <f>VLOOKUP(F39,F35:H37,3,FALSE)</f>
        <v>0.001</v>
      </c>
      <c r="F14" s="1" t="s">
        <v>42</v>
      </c>
    </row>
    <row r="15" spans="4:6" ht="15.75">
      <c r="D15" s="16" t="s">
        <v>43</v>
      </c>
      <c r="E15" s="17">
        <f>E14*E13</f>
        <v>0.1</v>
      </c>
      <c r="F15" s="1" t="s">
        <v>44</v>
      </c>
    </row>
    <row r="16" spans="4:6" ht="15.75">
      <c r="D16" s="16" t="s">
        <v>45</v>
      </c>
      <c r="E16" s="17">
        <f>VLOOKUP(F41,B35:D38,H40,FALSE)</f>
        <v>90</v>
      </c>
      <c r="F16" s="1" t="s">
        <v>46</v>
      </c>
    </row>
    <row r="17" spans="2:10" ht="15.75">
      <c r="B17" s="12"/>
      <c r="C17" s="12"/>
      <c r="D17" s="18" t="s">
        <v>20</v>
      </c>
      <c r="E17" s="19">
        <f>E16*E15</f>
        <v>9</v>
      </c>
      <c r="F17" s="12" t="s">
        <v>21</v>
      </c>
      <c r="G17" s="12"/>
      <c r="H17" s="12"/>
      <c r="I17" s="12"/>
      <c r="J17" s="12"/>
    </row>
    <row r="19" ht="15.75">
      <c r="B19" s="1" t="s">
        <v>47</v>
      </c>
    </row>
    <row r="20" spans="2:7" ht="15.75">
      <c r="B20" s="16" t="s">
        <v>48</v>
      </c>
      <c r="C20" s="1" t="s">
        <v>49</v>
      </c>
      <c r="D20" s="1" t="s">
        <v>50</v>
      </c>
      <c r="E20" s="1" t="s">
        <v>51</v>
      </c>
      <c r="F20" s="1" t="s">
        <v>52</v>
      </c>
      <c r="G20" s="1" t="s">
        <v>53</v>
      </c>
    </row>
    <row r="35" spans="2:8" ht="12.75" hidden="1">
      <c r="B35" s="1">
        <v>1</v>
      </c>
      <c r="C35" s="27">
        <v>90</v>
      </c>
      <c r="D35" s="27">
        <v>190</v>
      </c>
      <c r="F35" s="1">
        <v>1</v>
      </c>
      <c r="G35" s="1" t="s">
        <v>27</v>
      </c>
      <c r="H35" s="1">
        <v>10</v>
      </c>
    </row>
    <row r="36" spans="2:8" ht="12.75" hidden="1">
      <c r="B36" s="1">
        <v>2</v>
      </c>
      <c r="C36" s="27">
        <v>55</v>
      </c>
      <c r="D36" s="27">
        <v>100</v>
      </c>
      <c r="F36" s="1">
        <v>2</v>
      </c>
      <c r="G36" s="1" t="s">
        <v>28</v>
      </c>
      <c r="H36" s="1">
        <f>1/1000</f>
        <v>0.001</v>
      </c>
    </row>
    <row r="37" spans="3:4" ht="12.75" hidden="1">
      <c r="C37" s="27"/>
      <c r="D37" s="27"/>
    </row>
    <row r="38" spans="3:4" ht="12.75" hidden="1">
      <c r="C38" s="27"/>
      <c r="D38" s="27"/>
    </row>
    <row r="39" spans="6:7" ht="12.75" hidden="1">
      <c r="F39" s="28" t="b">
        <v>0</v>
      </c>
      <c r="G39" s="1" t="s">
        <v>29</v>
      </c>
    </row>
    <row r="40" spans="6:8" ht="12.75" hidden="1">
      <c r="F40" s="28" t="b">
        <v>0</v>
      </c>
      <c r="G40" s="1" t="s">
        <v>30</v>
      </c>
      <c r="H40" s="1">
        <f>F40+1</f>
        <v>2</v>
      </c>
    </row>
    <row r="41" spans="6:7" ht="12.75" hidden="1">
      <c r="F41" s="9">
        <v>1</v>
      </c>
      <c r="G41" s="1" t="s">
        <v>31</v>
      </c>
    </row>
  </sheetData>
  <sheetProtection formatCells="0" formatRows="0" insertColumns="0" sort="0" pivotTables="0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L41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3.28125" style="1" customWidth="1"/>
    <col min="2" max="2" width="18.8515625" style="1" customWidth="1"/>
    <col min="3" max="3" width="8.28125" style="1" customWidth="1"/>
    <col min="4" max="4" width="7.57421875" style="1" customWidth="1"/>
    <col min="5" max="5" width="12.140625" style="1" customWidth="1"/>
    <col min="6" max="6" width="8.140625" style="1" customWidth="1"/>
    <col min="7" max="7" width="7.57421875" style="1" customWidth="1"/>
    <col min="8" max="8" width="7.421875" style="1" customWidth="1"/>
    <col min="9" max="9" width="10.00390625" style="1" customWidth="1"/>
    <col min="10" max="16384" width="9.140625" style="1" customWidth="1"/>
  </cols>
  <sheetData>
    <row r="1" ht="18">
      <c r="B1" s="2" t="s">
        <v>0</v>
      </c>
    </row>
    <row r="3" spans="2:7" s="3" customFormat="1" ht="17.25" customHeight="1">
      <c r="B3" s="1"/>
      <c r="C3" s="4" t="s">
        <v>54</v>
      </c>
      <c r="D3" s="1"/>
      <c r="G3" s="4" t="s">
        <v>55</v>
      </c>
    </row>
    <row r="4" spans="2:8" ht="17.25" customHeight="1">
      <c r="B4" s="11"/>
      <c r="C4" s="6" t="s">
        <v>56</v>
      </c>
      <c r="D4" s="9"/>
      <c r="G4" s="6" t="s">
        <v>57</v>
      </c>
      <c r="H4" s="9"/>
    </row>
    <row r="5" spans="2:8" ht="17.25" customHeight="1">
      <c r="B5" s="11"/>
      <c r="C5" s="6" t="s">
        <v>58</v>
      </c>
      <c r="D5" s="9"/>
      <c r="G5" s="6" t="s">
        <v>59</v>
      </c>
      <c r="H5" s="9"/>
    </row>
    <row r="6" spans="2:12" s="3" customFormat="1" ht="17.25" customHeight="1">
      <c r="B6" s="11"/>
      <c r="C6" s="6" t="s">
        <v>60</v>
      </c>
      <c r="D6" s="9"/>
      <c r="F6" s="1"/>
      <c r="G6" s="6"/>
      <c r="H6" s="5"/>
      <c r="K6" s="10"/>
      <c r="L6" s="1"/>
    </row>
    <row r="7" spans="7:8" ht="17.25" customHeight="1">
      <c r="G7" s="6"/>
      <c r="H7" s="9"/>
    </row>
    <row r="8" ht="17.25" customHeight="1">
      <c r="B8" s="1" t="s">
        <v>61</v>
      </c>
    </row>
    <row r="9" ht="17.25" customHeight="1">
      <c r="B9" s="1" t="s">
        <v>62</v>
      </c>
    </row>
    <row r="10" spans="2:5" ht="17.25" customHeight="1">
      <c r="B10" s="1" t="s">
        <v>63</v>
      </c>
      <c r="E10" s="1" t="s">
        <v>64</v>
      </c>
    </row>
    <row r="11" spans="2:10" ht="15.75">
      <c r="B11" s="12"/>
      <c r="C11" s="12"/>
      <c r="D11" s="12"/>
      <c r="E11" s="12"/>
      <c r="F11" s="12"/>
      <c r="G11" s="12"/>
      <c r="H11" s="12"/>
      <c r="I11" s="12"/>
      <c r="J11" s="12"/>
    </row>
    <row r="12" spans="2:9" ht="15.75">
      <c r="B12" s="13"/>
      <c r="C12" s="13"/>
      <c r="D12" s="13"/>
      <c r="E12" s="13"/>
      <c r="F12" s="13"/>
      <c r="G12" s="13"/>
      <c r="H12" s="13"/>
      <c r="I12" s="13"/>
    </row>
    <row r="13" spans="4:11" ht="15.75">
      <c r="D13" s="4" t="s">
        <v>65</v>
      </c>
      <c r="E13" s="14">
        <v>5</v>
      </c>
      <c r="F13" s="1" t="str">
        <f>VLOOKUP(F39,F35:I37,F41,FALSE)</f>
        <v>% in food</v>
      </c>
      <c r="K13" s="15"/>
    </row>
    <row r="14" spans="4:6" ht="15.75">
      <c r="D14" s="16" t="s">
        <v>14</v>
      </c>
      <c r="E14" s="17">
        <f>VLOOKUP(F39,F35:I37,4,FALSE)</f>
        <v>10</v>
      </c>
      <c r="F14" s="1" t="str">
        <f>IF(F40=1,"to convert to mg test article/g of food","to convert to mg test article/mL of water")</f>
        <v>to convert to mg test article/g of food</v>
      </c>
    </row>
    <row r="15" spans="4:6" ht="15.75">
      <c r="D15" s="16" t="s">
        <v>66</v>
      </c>
      <c r="E15" s="17">
        <f>E14*E13</f>
        <v>50</v>
      </c>
      <c r="F15" s="1" t="str">
        <f>IF(F40=1,"mg test article/g of food","mg test article/mL of water")</f>
        <v>mg test article/g of food</v>
      </c>
    </row>
    <row r="16" spans="4:6" ht="15.75">
      <c r="D16" s="16" t="s">
        <v>67</v>
      </c>
      <c r="E16" s="17">
        <f>VLOOKUP(1,B35:D35,F41,FALSE)</f>
        <v>25</v>
      </c>
      <c r="F16" s="1" t="str">
        <f>IF(F40=1,"g food/kg body weight","mL water/kg body weight")</f>
        <v>g food/kg body weight</v>
      </c>
    </row>
    <row r="17" spans="2:10" ht="15.75">
      <c r="B17" s="12"/>
      <c r="C17" s="12"/>
      <c r="D17" s="18" t="s">
        <v>20</v>
      </c>
      <c r="E17" s="19">
        <f>E16*E15</f>
        <v>1250</v>
      </c>
      <c r="F17" s="12" t="s">
        <v>21</v>
      </c>
      <c r="G17" s="12"/>
      <c r="H17" s="12"/>
      <c r="I17" s="12"/>
      <c r="J17" s="12"/>
    </row>
    <row r="35" spans="2:9" ht="12.75" hidden="1">
      <c r="B35" s="1">
        <v>1</v>
      </c>
      <c r="C35" s="27">
        <v>25</v>
      </c>
      <c r="D35" s="27">
        <v>50</v>
      </c>
      <c r="F35" s="1">
        <v>1</v>
      </c>
      <c r="G35" s="1" t="s">
        <v>68</v>
      </c>
      <c r="H35" s="1" t="s">
        <v>69</v>
      </c>
      <c r="I35" s="1">
        <v>10</v>
      </c>
    </row>
    <row r="36" spans="3:9" ht="12.75" hidden="1">
      <c r="C36" s="27"/>
      <c r="D36" s="27"/>
      <c r="F36" s="1">
        <v>2</v>
      </c>
      <c r="G36" s="1" t="s">
        <v>70</v>
      </c>
      <c r="H36" s="1" t="s">
        <v>71</v>
      </c>
      <c r="I36" s="1">
        <f>1/1000</f>
        <v>0.001</v>
      </c>
    </row>
    <row r="37" spans="3:9" ht="12.75" hidden="1">
      <c r="C37" s="27"/>
      <c r="D37" s="27"/>
      <c r="F37" s="1">
        <v>3</v>
      </c>
      <c r="G37" s="1" t="s">
        <v>12</v>
      </c>
      <c r="H37" s="1" t="s">
        <v>72</v>
      </c>
      <c r="I37" s="1">
        <f>1/1000</f>
        <v>0.001</v>
      </c>
    </row>
    <row r="38" spans="3:4" ht="12.75" hidden="1">
      <c r="C38" s="27"/>
      <c r="D38" s="27"/>
    </row>
    <row r="39" spans="6:7" ht="12.75" hidden="1">
      <c r="F39" s="28" t="b">
        <v>0</v>
      </c>
      <c r="G39" s="1" t="s">
        <v>29</v>
      </c>
    </row>
    <row r="40" spans="6:7" ht="12.75" hidden="1">
      <c r="F40" s="9">
        <v>1</v>
      </c>
      <c r="G40" s="1" t="s">
        <v>73</v>
      </c>
    </row>
    <row r="41" ht="12.75" hidden="1">
      <c r="F41" s="1">
        <f>F40+1</f>
        <v>2</v>
      </c>
    </row>
  </sheetData>
  <sheetProtection formatCells="0" formatRows="0" insertColumns="0" sort="0" pivotTables="0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5"/>
  <sheetViews>
    <sheetView showGridLines="0" workbookViewId="0" topLeftCell="Y1">
      <selection activeCell="AI11" sqref="AI11"/>
    </sheetView>
  </sheetViews>
  <sheetFormatPr defaultColWidth="9.140625" defaultRowHeight="12.75"/>
  <cols>
    <col min="5" max="5" width="11.57421875" style="0" customWidth="1"/>
    <col min="9" max="9" width="10.421875" style="0" customWidth="1"/>
    <col min="13" max="13" width="10.00390625" style="0" customWidth="1"/>
    <col min="17" max="17" width="9.28125" style="0" customWidth="1"/>
    <col min="18" max="18" width="7.57421875" style="0" customWidth="1"/>
    <col min="19" max="19" width="6.140625" style="0" customWidth="1"/>
    <col min="20" max="20" width="6.8515625" style="0" customWidth="1"/>
    <col min="21" max="21" width="7.8515625" style="0" customWidth="1"/>
    <col min="24" max="24" width="8.421875" style="0" customWidth="1"/>
    <col min="25" max="25" width="7.421875" style="0" customWidth="1"/>
    <col min="26" max="31" width="6.8515625" style="0" customWidth="1"/>
  </cols>
  <sheetData>
    <row r="1" spans="2:20" ht="15.75">
      <c r="B1" t="s">
        <v>74</v>
      </c>
      <c r="D1" t="s">
        <v>53</v>
      </c>
      <c r="F1" s="32" t="s">
        <v>75</v>
      </c>
      <c r="H1" t="s">
        <v>50</v>
      </c>
      <c r="J1" s="32" t="s">
        <v>76</v>
      </c>
      <c r="K1" t="s">
        <v>51</v>
      </c>
      <c r="N1" s="32" t="s">
        <v>77</v>
      </c>
      <c r="O1" t="s">
        <v>49</v>
      </c>
      <c r="R1" s="32" t="s">
        <v>78</v>
      </c>
      <c r="T1" t="s">
        <v>52</v>
      </c>
    </row>
    <row r="2" spans="3:23" ht="15.75">
      <c r="C2" t="s">
        <v>79</v>
      </c>
      <c r="F2" s="32"/>
      <c r="G2" t="s">
        <v>79</v>
      </c>
      <c r="J2" s="32"/>
      <c r="K2" t="s">
        <v>79</v>
      </c>
      <c r="N2" s="32"/>
      <c r="O2" t="s">
        <v>79</v>
      </c>
      <c r="R2" s="32"/>
      <c r="S2" t="s">
        <v>79</v>
      </c>
      <c r="W2" s="37" t="s">
        <v>80</v>
      </c>
    </row>
    <row r="3" spans="1:36" s="22" customFormat="1" ht="15.75">
      <c r="A3" s="22" t="s">
        <v>25</v>
      </c>
      <c r="B3" s="22" t="s">
        <v>81</v>
      </c>
      <c r="C3" s="22" t="s">
        <v>82</v>
      </c>
      <c r="D3" s="22" t="s">
        <v>83</v>
      </c>
      <c r="E3" s="22" t="s">
        <v>84</v>
      </c>
      <c r="F3" s="35" t="s">
        <v>81</v>
      </c>
      <c r="G3" s="22" t="s">
        <v>82</v>
      </c>
      <c r="H3" s="22" t="s">
        <v>83</v>
      </c>
      <c r="I3" s="22" t="s">
        <v>84</v>
      </c>
      <c r="J3" s="35" t="s">
        <v>81</v>
      </c>
      <c r="K3" s="22" t="s">
        <v>82</v>
      </c>
      <c r="L3" s="22" t="s">
        <v>83</v>
      </c>
      <c r="M3" s="22" t="s">
        <v>84</v>
      </c>
      <c r="N3" s="35" t="s">
        <v>81</v>
      </c>
      <c r="O3" s="22" t="s">
        <v>82</v>
      </c>
      <c r="P3" s="22" t="s">
        <v>83</v>
      </c>
      <c r="Q3" s="22" t="s">
        <v>84</v>
      </c>
      <c r="R3" s="35" t="s">
        <v>28</v>
      </c>
      <c r="S3" s="22" t="s">
        <v>82</v>
      </c>
      <c r="T3" s="22" t="s">
        <v>83</v>
      </c>
      <c r="U3" s="22" t="s">
        <v>84</v>
      </c>
      <c r="Y3" s="22" t="s">
        <v>85</v>
      </c>
      <c r="Z3" s="22" t="str">
        <f>O1</f>
        <v>TR-432</v>
      </c>
      <c r="AA3" s="22" t="str">
        <f>H1</f>
        <v>TR-436</v>
      </c>
      <c r="AB3" s="22" t="str">
        <f>K1</f>
        <v>TR-470</v>
      </c>
      <c r="AC3" s="22" t="str">
        <f>T1</f>
        <v>TR-477</v>
      </c>
      <c r="AD3" s="22" t="str">
        <f>D1</f>
        <v>TR-495 </v>
      </c>
      <c r="AE3" s="22" t="s">
        <v>86</v>
      </c>
      <c r="AF3" s="22" t="s">
        <v>87</v>
      </c>
      <c r="AG3" s="22" t="s">
        <v>88</v>
      </c>
      <c r="AH3" s="22" t="s">
        <v>89</v>
      </c>
      <c r="AI3" s="22" t="s">
        <v>90</v>
      </c>
      <c r="AJ3" s="36" t="s">
        <v>91</v>
      </c>
    </row>
    <row r="4" spans="1:37" ht="15.75">
      <c r="A4" t="s">
        <v>92</v>
      </c>
      <c r="B4">
        <v>0.75</v>
      </c>
      <c r="C4">
        <v>35</v>
      </c>
      <c r="D4">
        <v>40</v>
      </c>
      <c r="E4" s="38">
        <f aca="true" t="shared" si="0" ref="E4:E12">AVERAGE(C4:D4)/B4</f>
        <v>50</v>
      </c>
      <c r="F4" s="32">
        <v>1.25</v>
      </c>
      <c r="G4">
        <v>90</v>
      </c>
      <c r="I4" s="38">
        <f>AVERAGE(G4:H4)/F4</f>
        <v>72</v>
      </c>
      <c r="J4" s="32">
        <v>0.1</v>
      </c>
      <c r="K4">
        <v>7</v>
      </c>
      <c r="M4" s="38">
        <f>AVERAGE(K4:L4)/J4</f>
        <v>70</v>
      </c>
      <c r="N4" s="32">
        <v>0.5</v>
      </c>
      <c r="O4">
        <v>15</v>
      </c>
      <c r="P4">
        <v>15</v>
      </c>
      <c r="Q4" s="38">
        <f>AVERAGE(O4:P4)/N4</f>
        <v>30</v>
      </c>
      <c r="R4" s="32">
        <v>0.15</v>
      </c>
      <c r="S4" s="39">
        <v>8</v>
      </c>
      <c r="U4" s="38">
        <f>AVERAGE(S4:T4)/R4</f>
        <v>53.333333333333336</v>
      </c>
      <c r="W4" t="s">
        <v>25</v>
      </c>
      <c r="X4" t="s">
        <v>93</v>
      </c>
      <c r="Y4" s="38">
        <v>75</v>
      </c>
      <c r="Z4">
        <v>29</v>
      </c>
      <c r="AA4" s="38">
        <f>AVERAGE(I4:I7)</f>
        <v>72</v>
      </c>
      <c r="AB4" s="38">
        <f>AVERAGE(M4:M6)</f>
        <v>74.16666666666667</v>
      </c>
      <c r="AC4" s="38">
        <f>AVERAGE(U4:U6)</f>
        <v>52.64957264957265</v>
      </c>
      <c r="AD4" s="38">
        <f>AVERAGE(E4:E6)</f>
        <v>48.888888888888886</v>
      </c>
      <c r="AF4" s="38">
        <f>W63</f>
        <v>62.47183614588513</v>
      </c>
      <c r="AG4" s="38">
        <f>W80</f>
        <v>48.19709368826147</v>
      </c>
      <c r="AH4" s="38">
        <f>W97</f>
        <v>41.26479925041418</v>
      </c>
      <c r="AI4" s="38">
        <f>AVERAGE(AB50:AC52)</f>
        <v>42.5</v>
      </c>
      <c r="AJ4" s="38">
        <f>AVERAGE(Y4:AI4)</f>
        <v>54.613885728968896</v>
      </c>
      <c r="AK4" s="38"/>
    </row>
    <row r="5" spans="2:37" ht="15.75">
      <c r="B5">
        <v>1.5</v>
      </c>
      <c r="C5">
        <v>70</v>
      </c>
      <c r="D5">
        <v>80</v>
      </c>
      <c r="E5" s="38">
        <f t="shared" si="0"/>
        <v>50</v>
      </c>
      <c r="F5" s="32">
        <v>2.5</v>
      </c>
      <c r="G5">
        <v>200</v>
      </c>
      <c r="H5">
        <v>180</v>
      </c>
      <c r="I5" s="38">
        <f>AVERAGE(G5:H5)/F5</f>
        <v>76</v>
      </c>
      <c r="J5" s="32">
        <v>0.2</v>
      </c>
      <c r="K5">
        <v>14</v>
      </c>
      <c r="M5" s="38">
        <f>AVERAGE(K5:L5)/J5</f>
        <v>70</v>
      </c>
      <c r="N5" s="32">
        <v>1.25</v>
      </c>
      <c r="O5">
        <v>30</v>
      </c>
      <c r="P5">
        <v>45</v>
      </c>
      <c r="Q5" s="38">
        <f>AVERAGE(O5:P5)/N5</f>
        <v>30</v>
      </c>
      <c r="R5" s="32">
        <v>0.325</v>
      </c>
      <c r="S5" s="39">
        <v>17</v>
      </c>
      <c r="U5" s="38">
        <f>AVERAGE(S5:T5)/R5</f>
        <v>52.30769230769231</v>
      </c>
      <c r="W5" s="22"/>
      <c r="X5" s="22" t="s">
        <v>94</v>
      </c>
      <c r="Y5" s="40">
        <v>99.2</v>
      </c>
      <c r="Z5" s="40">
        <v>62.75</v>
      </c>
      <c r="AA5" s="22"/>
      <c r="AB5" s="40">
        <f>AVERAGE(M8:M12)</f>
        <v>100</v>
      </c>
      <c r="AC5" s="40">
        <f>AVERAGE(U8:U14)</f>
        <v>102.36430236430236</v>
      </c>
      <c r="AD5" s="40">
        <f>AVERAGE(E8:E12)</f>
        <v>80.26666666666667</v>
      </c>
      <c r="AE5" s="22"/>
      <c r="AF5" s="40">
        <f>V63</f>
        <v>92.95093057521478</v>
      </c>
      <c r="AG5" s="40">
        <f>V80</f>
        <v>69.58093641338311</v>
      </c>
      <c r="AH5" s="40">
        <f>V97</f>
        <v>60.067442240259716</v>
      </c>
      <c r="AI5" s="40">
        <f>AVERAGE(AB45:AC48)</f>
        <v>88.375</v>
      </c>
      <c r="AJ5" s="40">
        <f>AVERAGE(Y5:AI5)</f>
        <v>83.95058647331408</v>
      </c>
      <c r="AK5" s="40"/>
    </row>
    <row r="6" spans="2:37" ht="15.75">
      <c r="B6">
        <v>3</v>
      </c>
      <c r="C6">
        <v>130</v>
      </c>
      <c r="D6">
        <v>150</v>
      </c>
      <c r="E6" s="38">
        <f t="shared" si="0"/>
        <v>46.666666666666664</v>
      </c>
      <c r="F6" s="32">
        <v>5</v>
      </c>
      <c r="G6">
        <v>420</v>
      </c>
      <c r="H6">
        <v>330</v>
      </c>
      <c r="I6" s="38">
        <f>AVERAGE(G6:H6)/F6</f>
        <v>75</v>
      </c>
      <c r="J6" s="32">
        <v>0.4</v>
      </c>
      <c r="K6">
        <v>33</v>
      </c>
      <c r="M6" s="38">
        <f>AVERAGE(K6:L6)/J6</f>
        <v>82.5</v>
      </c>
      <c r="N6" s="32">
        <v>2.5</v>
      </c>
      <c r="O6">
        <v>60</v>
      </c>
      <c r="P6">
        <v>75</v>
      </c>
      <c r="Q6" s="38">
        <f>AVERAGE(O6:P6)/N6</f>
        <v>27</v>
      </c>
      <c r="R6" s="32">
        <v>0.65</v>
      </c>
      <c r="S6" s="39">
        <v>34</v>
      </c>
      <c r="U6" s="38">
        <f>AVERAGE(S6:T6)/R6</f>
        <v>52.30769230769231</v>
      </c>
      <c r="W6" t="s">
        <v>26</v>
      </c>
      <c r="X6" t="s">
        <v>93</v>
      </c>
      <c r="Y6" s="38"/>
      <c r="Z6" s="38">
        <v>69.33333333333333</v>
      </c>
      <c r="AA6" s="38">
        <f>AVERAGE(I16:I18)</f>
        <v>104.16666666666667</v>
      </c>
      <c r="AB6" s="38">
        <f>AVERAGE(M15:M19)</f>
        <v>136</v>
      </c>
      <c r="AC6" s="38">
        <f>AVERAGE(U16:U18)</f>
        <v>100</v>
      </c>
      <c r="AD6" s="38">
        <f>AVERAGE(E16:E18)</f>
        <v>68.05555555555556</v>
      </c>
      <c r="AE6" s="38">
        <f>W37</f>
        <v>107.34236312207454</v>
      </c>
      <c r="AF6" s="38">
        <f>W65</f>
        <v>69.82481097224267</v>
      </c>
      <c r="AG6" s="38">
        <f>W82</f>
        <v>79.04966400420258</v>
      </c>
      <c r="AH6" s="38">
        <f>W99</f>
        <v>63.470487562165765</v>
      </c>
      <c r="AI6" s="38">
        <f>AVERAGE(AD50:AE52)</f>
        <v>78.66666666666667</v>
      </c>
      <c r="AJ6" s="41">
        <f>AVERAGE(Y6:AI6)</f>
        <v>87.59095478829077</v>
      </c>
      <c r="AK6" s="38"/>
    </row>
    <row r="7" spans="6:37" s="22" customFormat="1" ht="15.75">
      <c r="F7" s="35">
        <v>10</v>
      </c>
      <c r="H7" s="22">
        <v>650</v>
      </c>
      <c r="I7" s="40">
        <f>AVERAGE(G7:H7)/F7</f>
        <v>65</v>
      </c>
      <c r="J7" s="35"/>
      <c r="N7" s="35"/>
      <c r="R7" s="35"/>
      <c r="X7" s="22" t="s">
        <v>94</v>
      </c>
      <c r="Y7" s="40"/>
      <c r="Z7" s="40">
        <v>111.875</v>
      </c>
      <c r="AB7" s="40">
        <f>AVERAGE(M21:M25)</f>
        <v>196</v>
      </c>
      <c r="AC7" s="40">
        <f>AVERAGE(U21:U28)</f>
        <v>179.84848484848484</v>
      </c>
      <c r="AD7" s="40">
        <f>AVERAGE(E21:E25)</f>
        <v>263.4</v>
      </c>
      <c r="AE7" s="40">
        <f>V37</f>
        <v>142.4930238990245</v>
      </c>
      <c r="AF7" s="40">
        <f>V65</f>
        <v>96.80447363982871</v>
      </c>
      <c r="AG7" s="40">
        <f>V82</f>
        <v>113.74398303733128</v>
      </c>
      <c r="AH7" s="40">
        <f>V99</f>
        <v>99.55156142561233</v>
      </c>
      <c r="AI7" s="40">
        <f>AVERAGE(AD45:AE48)</f>
        <v>126.625</v>
      </c>
      <c r="AJ7" s="40">
        <f>AVERAGE(Y7:AI7)</f>
        <v>147.81572520558686</v>
      </c>
      <c r="AK7" s="40"/>
    </row>
    <row r="8" spans="1:21" ht="15.75">
      <c r="A8" t="s">
        <v>95</v>
      </c>
      <c r="B8">
        <v>0.375</v>
      </c>
      <c r="C8">
        <v>30</v>
      </c>
      <c r="D8">
        <v>40</v>
      </c>
      <c r="E8" s="38">
        <f t="shared" si="0"/>
        <v>93.33333333333333</v>
      </c>
      <c r="F8" s="32"/>
      <c r="J8" s="32">
        <v>0.05</v>
      </c>
      <c r="K8">
        <v>5</v>
      </c>
      <c r="M8" s="38">
        <f>AVERAGE(K8:L8)/J8</f>
        <v>100</v>
      </c>
      <c r="N8" s="32">
        <v>0.125</v>
      </c>
      <c r="O8">
        <v>10</v>
      </c>
      <c r="P8">
        <v>10</v>
      </c>
      <c r="Q8" s="38">
        <f>AVERAGE(O8:P8)/N8</f>
        <v>80</v>
      </c>
      <c r="R8" s="32">
        <v>0.033</v>
      </c>
      <c r="S8" s="39">
        <v>5</v>
      </c>
      <c r="U8" s="38">
        <f aca="true" t="shared" si="1" ref="U8:U14">AVERAGE(S8:T8)/R8</f>
        <v>151.5151515151515</v>
      </c>
    </row>
    <row r="9" spans="2:37" ht="15.75">
      <c r="B9">
        <v>0.75</v>
      </c>
      <c r="C9">
        <v>55</v>
      </c>
      <c r="D9">
        <v>80</v>
      </c>
      <c r="E9" s="38">
        <f t="shared" si="0"/>
        <v>90</v>
      </c>
      <c r="F9" s="32"/>
      <c r="J9" s="32">
        <v>0.1</v>
      </c>
      <c r="K9">
        <v>10</v>
      </c>
      <c r="M9" s="38">
        <f>AVERAGE(K9:L9)/J9</f>
        <v>100</v>
      </c>
      <c r="N9" s="32">
        <v>0.5</v>
      </c>
      <c r="O9">
        <v>30</v>
      </c>
      <c r="P9">
        <v>35</v>
      </c>
      <c r="Q9" s="38">
        <f>AVERAGE(O9:P9)/N9</f>
        <v>65</v>
      </c>
      <c r="R9" s="32">
        <v>0.1</v>
      </c>
      <c r="S9" s="39">
        <v>10</v>
      </c>
      <c r="U9" s="38">
        <f t="shared" si="1"/>
        <v>100</v>
      </c>
      <c r="AJ9" s="42"/>
      <c r="AK9" s="42"/>
    </row>
    <row r="10" spans="2:21" ht="15.75">
      <c r="B10">
        <v>1.5</v>
      </c>
      <c r="C10">
        <v>115</v>
      </c>
      <c r="D10">
        <v>130</v>
      </c>
      <c r="E10" s="38">
        <f t="shared" si="0"/>
        <v>81.66666666666667</v>
      </c>
      <c r="F10" s="32"/>
      <c r="J10" s="32">
        <v>0.25</v>
      </c>
      <c r="K10">
        <v>25</v>
      </c>
      <c r="M10" s="38">
        <f>AVERAGE(K10:L10)/J10</f>
        <v>100</v>
      </c>
      <c r="N10" s="32">
        <v>1</v>
      </c>
      <c r="O10">
        <v>65</v>
      </c>
      <c r="P10">
        <v>65</v>
      </c>
      <c r="Q10" s="38">
        <f>AVERAGE(O10:P10)/N10</f>
        <v>65</v>
      </c>
      <c r="R10" s="43">
        <v>0.325</v>
      </c>
      <c r="S10" s="44">
        <v>30</v>
      </c>
      <c r="U10" s="38">
        <f t="shared" si="1"/>
        <v>92.3076923076923</v>
      </c>
    </row>
    <row r="11" spans="2:21" ht="15.75">
      <c r="B11">
        <v>3</v>
      </c>
      <c r="C11">
        <v>200</v>
      </c>
      <c r="D11">
        <v>225</v>
      </c>
      <c r="E11" s="38">
        <f t="shared" si="0"/>
        <v>70.83333333333333</v>
      </c>
      <c r="F11" s="32"/>
      <c r="J11" s="32">
        <v>0.5</v>
      </c>
      <c r="K11">
        <v>55</v>
      </c>
      <c r="M11" s="38">
        <f>AVERAGE(K11:L11)/J11</f>
        <v>110</v>
      </c>
      <c r="N11" s="32">
        <v>2</v>
      </c>
      <c r="O11">
        <v>110</v>
      </c>
      <c r="P11">
        <v>115</v>
      </c>
      <c r="Q11" s="38">
        <f>AVERAGE(O11:P11)/N11</f>
        <v>56.25</v>
      </c>
      <c r="R11" s="32">
        <v>0.33</v>
      </c>
      <c r="S11" s="39">
        <v>35</v>
      </c>
      <c r="U11" s="38">
        <f t="shared" si="1"/>
        <v>106.06060606060606</v>
      </c>
    </row>
    <row r="12" spans="2:21" ht="15.75">
      <c r="B12">
        <v>5</v>
      </c>
      <c r="C12">
        <v>310</v>
      </c>
      <c r="D12">
        <v>345</v>
      </c>
      <c r="E12" s="38">
        <f t="shared" si="0"/>
        <v>65.5</v>
      </c>
      <c r="F12" s="32"/>
      <c r="J12" s="32">
        <v>1</v>
      </c>
      <c r="K12">
        <v>90</v>
      </c>
      <c r="M12" s="38">
        <f>AVERAGE(K12:L12)/J12</f>
        <v>90</v>
      </c>
      <c r="N12" s="32">
        <v>4</v>
      </c>
      <c r="O12">
        <v>200</v>
      </c>
      <c r="P12">
        <v>180</v>
      </c>
      <c r="Q12" s="38">
        <f>AVERAGE(O12:P12)/N12</f>
        <v>47.5</v>
      </c>
      <c r="R12" s="45">
        <v>0.65</v>
      </c>
      <c r="S12" s="39">
        <v>65</v>
      </c>
      <c r="U12" s="38">
        <f t="shared" si="1"/>
        <v>100</v>
      </c>
    </row>
    <row r="13" spans="5:21" ht="15.75">
      <c r="E13" s="38"/>
      <c r="F13" s="32"/>
      <c r="J13" s="32"/>
      <c r="M13" s="38"/>
      <c r="N13" s="32"/>
      <c r="Q13" s="38"/>
      <c r="R13" s="43">
        <v>1</v>
      </c>
      <c r="S13" s="44">
        <v>100</v>
      </c>
      <c r="U13" s="38">
        <f t="shared" si="1"/>
        <v>100</v>
      </c>
    </row>
    <row r="14" spans="6:21" s="22" customFormat="1" ht="15.75">
      <c r="F14" s="35"/>
      <c r="J14" s="35"/>
      <c r="N14" s="35"/>
      <c r="Q14" s="40">
        <f>AVERAGE(Q8:Q12)</f>
        <v>62.75</v>
      </c>
      <c r="R14" s="35">
        <v>3.3</v>
      </c>
      <c r="S14" s="46">
        <v>220</v>
      </c>
      <c r="U14" s="40">
        <f t="shared" si="1"/>
        <v>66.66666666666667</v>
      </c>
    </row>
    <row r="15" spans="1:18" ht="15.75">
      <c r="A15" t="s">
        <v>26</v>
      </c>
      <c r="F15" s="32"/>
      <c r="J15" s="32">
        <v>0.125</v>
      </c>
      <c r="L15">
        <v>15</v>
      </c>
      <c r="M15" s="38">
        <f>AVERAGE(K15:L15)/J15</f>
        <v>120</v>
      </c>
      <c r="N15" s="32"/>
      <c r="R15" s="47"/>
    </row>
    <row r="16" spans="1:21" ht="15.75">
      <c r="A16" t="s">
        <v>92</v>
      </c>
      <c r="B16">
        <v>0.75</v>
      </c>
      <c r="C16">
        <v>60</v>
      </c>
      <c r="D16">
        <v>45</v>
      </c>
      <c r="E16" s="38">
        <f>AVERAGE(C16:D16)/B16</f>
        <v>70</v>
      </c>
      <c r="F16" s="32">
        <v>5</v>
      </c>
      <c r="G16">
        <v>540</v>
      </c>
      <c r="H16">
        <v>510</v>
      </c>
      <c r="I16" s="38">
        <f>AVERAGE(G16:H16)/F16</f>
        <v>105</v>
      </c>
      <c r="J16" s="32">
        <v>0.2</v>
      </c>
      <c r="K16">
        <v>35</v>
      </c>
      <c r="M16" s="38">
        <f>AVERAGE(K16:L16)/J16</f>
        <v>175</v>
      </c>
      <c r="N16" s="32">
        <v>0.5</v>
      </c>
      <c r="O16">
        <v>30</v>
      </c>
      <c r="P16">
        <v>40</v>
      </c>
      <c r="Q16" s="38">
        <f>AVERAGE(O16:P16)/N16</f>
        <v>70</v>
      </c>
      <c r="R16" s="32">
        <v>0.25</v>
      </c>
      <c r="S16" s="39">
        <v>25</v>
      </c>
      <c r="U16" s="38">
        <f>AVERAGE(S16:T16)/R16</f>
        <v>100</v>
      </c>
    </row>
    <row r="17" spans="2:21" ht="15.75">
      <c r="B17">
        <v>1.5</v>
      </c>
      <c r="C17">
        <v>120</v>
      </c>
      <c r="D17">
        <v>90</v>
      </c>
      <c r="E17" s="38">
        <f>AVERAGE(C17:D17)/B17</f>
        <v>70</v>
      </c>
      <c r="F17" s="32">
        <v>10</v>
      </c>
      <c r="G17">
        <v>1040</v>
      </c>
      <c r="H17">
        <v>1020</v>
      </c>
      <c r="I17" s="38">
        <f>AVERAGE(G17:H17)/F17</f>
        <v>103</v>
      </c>
      <c r="J17" s="32">
        <v>0.25</v>
      </c>
      <c r="L17">
        <v>35</v>
      </c>
      <c r="M17" s="38">
        <f>AVERAGE(K17:L17)/J17</f>
        <v>140</v>
      </c>
      <c r="N17" s="32">
        <v>1.25</v>
      </c>
      <c r="O17">
        <v>75</v>
      </c>
      <c r="P17">
        <v>90</v>
      </c>
      <c r="Q17" s="38">
        <f>AVERAGE(O17:P17)/N17</f>
        <v>66</v>
      </c>
      <c r="R17" s="32">
        <v>0.5</v>
      </c>
      <c r="S17" s="39">
        <v>50</v>
      </c>
      <c r="U17" s="38">
        <f>AVERAGE(S17:T17)/R17</f>
        <v>100</v>
      </c>
    </row>
    <row r="18" spans="2:31" ht="15.75">
      <c r="B18">
        <v>3</v>
      </c>
      <c r="C18">
        <v>220</v>
      </c>
      <c r="D18">
        <v>165</v>
      </c>
      <c r="E18" s="38">
        <f>AVERAGE(C18:D18)/B18</f>
        <v>64.16666666666667</v>
      </c>
      <c r="F18" s="32">
        <v>20</v>
      </c>
      <c r="G18">
        <v>2070</v>
      </c>
      <c r="H18">
        <v>2110</v>
      </c>
      <c r="I18" s="38">
        <f>AVERAGE(G18:H18)/F18</f>
        <v>104.5</v>
      </c>
      <c r="J18" s="32">
        <v>0.5</v>
      </c>
      <c r="K18">
        <v>65</v>
      </c>
      <c r="L18">
        <v>70</v>
      </c>
      <c r="M18" s="38">
        <f>AVERAGE(K18:L18)/J18</f>
        <v>135</v>
      </c>
      <c r="N18" s="32">
        <v>2.5</v>
      </c>
      <c r="O18">
        <v>160</v>
      </c>
      <c r="P18">
        <v>200</v>
      </c>
      <c r="Q18" s="38">
        <f>AVERAGE(O18:P18)/N18</f>
        <v>72</v>
      </c>
      <c r="R18" s="32">
        <v>1</v>
      </c>
      <c r="S18" s="39">
        <v>100</v>
      </c>
      <c r="U18" s="38">
        <f>AVERAGE(S18:T18)/R18</f>
        <v>100</v>
      </c>
      <c r="AE18" s="48"/>
    </row>
    <row r="19" spans="6:18" ht="15.75">
      <c r="F19" s="32"/>
      <c r="J19" s="32">
        <v>1</v>
      </c>
      <c r="K19">
        <v>110</v>
      </c>
      <c r="M19" s="38">
        <f>AVERAGE(K19:L19)/J19</f>
        <v>110</v>
      </c>
      <c r="N19" s="32"/>
      <c r="R19" s="32"/>
    </row>
    <row r="20" spans="6:18" s="22" customFormat="1" ht="15.75">
      <c r="F20" s="35"/>
      <c r="J20" s="35"/>
      <c r="N20" s="35"/>
      <c r="R20" s="35"/>
    </row>
    <row r="21" spans="1:21" ht="15.75">
      <c r="A21" t="s">
        <v>96</v>
      </c>
      <c r="B21">
        <v>0.375</v>
      </c>
      <c r="C21">
        <v>90</v>
      </c>
      <c r="D21">
        <v>120</v>
      </c>
      <c r="E21" s="38">
        <f>AVERAGE(C21:D21)/B21</f>
        <v>280</v>
      </c>
      <c r="F21" s="32"/>
      <c r="J21" s="32">
        <v>0.05</v>
      </c>
      <c r="K21">
        <v>10</v>
      </c>
      <c r="L21">
        <v>10</v>
      </c>
      <c r="M21" s="38">
        <f>AVERAGE(K21:L21)/J21</f>
        <v>200</v>
      </c>
      <c r="N21" s="32">
        <v>0.125</v>
      </c>
      <c r="O21">
        <v>15</v>
      </c>
      <c r="P21">
        <v>15</v>
      </c>
      <c r="Q21" s="38">
        <f>AVERAGE(O21:P21)/N21</f>
        <v>120</v>
      </c>
      <c r="R21" s="47">
        <v>0.033</v>
      </c>
      <c r="S21" s="39">
        <v>5</v>
      </c>
      <c r="T21" s="39">
        <v>7</v>
      </c>
      <c r="U21" s="38">
        <f aca="true" t="shared" si="2" ref="U21:U28">AVERAGE(S21:T21)/R21</f>
        <v>181.8181818181818</v>
      </c>
    </row>
    <row r="22" spans="2:21" ht="15.75">
      <c r="B22">
        <v>0.75</v>
      </c>
      <c r="C22">
        <v>190</v>
      </c>
      <c r="D22">
        <v>240</v>
      </c>
      <c r="E22" s="38">
        <f>AVERAGE(C22:D22)/B22</f>
        <v>286.6666666666667</v>
      </c>
      <c r="F22" s="32"/>
      <c r="J22" s="32">
        <v>0.1</v>
      </c>
      <c r="K22">
        <v>20</v>
      </c>
      <c r="L22">
        <v>20</v>
      </c>
      <c r="M22" s="38">
        <f>AVERAGE(K22:L22)/J22</f>
        <v>200</v>
      </c>
      <c r="N22" s="32">
        <v>0.5</v>
      </c>
      <c r="O22">
        <v>55</v>
      </c>
      <c r="P22">
        <v>60</v>
      </c>
      <c r="Q22" s="38">
        <f>AVERAGE(O22:P22)/N22</f>
        <v>115</v>
      </c>
      <c r="R22" s="32">
        <v>0.1</v>
      </c>
      <c r="S22" s="39">
        <v>15</v>
      </c>
      <c r="T22" s="39">
        <v>20</v>
      </c>
      <c r="U22" s="38">
        <f t="shared" si="2"/>
        <v>175</v>
      </c>
    </row>
    <row r="23" spans="2:21" ht="15.75">
      <c r="B23">
        <v>1.5</v>
      </c>
      <c r="C23">
        <v>345</v>
      </c>
      <c r="D23">
        <v>445</v>
      </c>
      <c r="E23" s="38">
        <f>AVERAGE(C23:D23)/B23</f>
        <v>263.3333333333333</v>
      </c>
      <c r="F23" s="32"/>
      <c r="J23" s="32">
        <v>0.25</v>
      </c>
      <c r="K23">
        <v>50</v>
      </c>
      <c r="L23">
        <v>60</v>
      </c>
      <c r="M23" s="38">
        <f>AVERAGE(K23:L23)/J23</f>
        <v>220</v>
      </c>
      <c r="N23" s="32">
        <v>1</v>
      </c>
      <c r="O23">
        <v>100</v>
      </c>
      <c r="P23">
        <v>110</v>
      </c>
      <c r="Q23" s="38">
        <f>AVERAGE(O23:P23)/N23</f>
        <v>105</v>
      </c>
      <c r="R23" s="32">
        <v>0.25</v>
      </c>
      <c r="S23" s="44">
        <v>45</v>
      </c>
      <c r="T23" s="44">
        <v>60</v>
      </c>
      <c r="U23" s="38">
        <f t="shared" si="2"/>
        <v>210</v>
      </c>
    </row>
    <row r="24" spans="2:21" ht="15.75">
      <c r="B24">
        <v>3</v>
      </c>
      <c r="C24">
        <v>750</v>
      </c>
      <c r="D24">
        <v>840</v>
      </c>
      <c r="E24" s="38">
        <f>AVERAGE(C24:D24)/B24</f>
        <v>265</v>
      </c>
      <c r="F24" s="32"/>
      <c r="J24" s="32">
        <v>0.5</v>
      </c>
      <c r="K24">
        <v>85</v>
      </c>
      <c r="L24">
        <v>100</v>
      </c>
      <c r="M24" s="38">
        <f>AVERAGE(K24:L24)/J24</f>
        <v>185</v>
      </c>
      <c r="N24" s="32">
        <v>2</v>
      </c>
      <c r="O24">
        <v>205</v>
      </c>
      <c r="P24">
        <v>200</v>
      </c>
      <c r="Q24" s="38">
        <f>AVERAGE(O24:P24)/N24</f>
        <v>101.25</v>
      </c>
      <c r="R24" s="32">
        <v>0.33</v>
      </c>
      <c r="S24" s="39">
        <v>50</v>
      </c>
      <c r="T24" s="39">
        <v>70</v>
      </c>
      <c r="U24" s="38">
        <f t="shared" si="2"/>
        <v>181.8181818181818</v>
      </c>
    </row>
    <row r="25" spans="2:21" ht="15.75">
      <c r="B25">
        <v>5</v>
      </c>
      <c r="C25">
        <v>990</v>
      </c>
      <c r="D25">
        <v>1230</v>
      </c>
      <c r="E25" s="38">
        <f>AVERAGE(C25:D25)/B25</f>
        <v>222</v>
      </c>
      <c r="F25" s="32"/>
      <c r="J25" s="32">
        <v>1</v>
      </c>
      <c r="K25">
        <v>160</v>
      </c>
      <c r="L25">
        <v>190</v>
      </c>
      <c r="M25" s="38">
        <f>AVERAGE(K25:L25)/J25</f>
        <v>175</v>
      </c>
      <c r="N25" s="32">
        <v>4</v>
      </c>
      <c r="O25">
        <v>450</v>
      </c>
      <c r="P25">
        <v>495</v>
      </c>
      <c r="Q25" s="38">
        <f>AVERAGE(O25:P25)/N25</f>
        <v>118.125</v>
      </c>
      <c r="R25" s="32">
        <v>0.5</v>
      </c>
      <c r="S25" s="44">
        <v>75</v>
      </c>
      <c r="T25" s="49">
        <v>105</v>
      </c>
      <c r="U25" s="38">
        <f t="shared" si="2"/>
        <v>180</v>
      </c>
    </row>
    <row r="26" spans="18:21" ht="15.75">
      <c r="R26" s="32">
        <v>1</v>
      </c>
      <c r="S26" s="39">
        <v>170</v>
      </c>
      <c r="T26" s="39">
        <v>260</v>
      </c>
      <c r="U26" s="38">
        <f t="shared" si="2"/>
        <v>215</v>
      </c>
    </row>
    <row r="27" spans="18:21" ht="15.75">
      <c r="R27" s="32">
        <v>1</v>
      </c>
      <c r="S27" s="44">
        <v>150</v>
      </c>
      <c r="T27" s="49">
        <v>210</v>
      </c>
      <c r="U27" s="38">
        <f t="shared" si="2"/>
        <v>180</v>
      </c>
    </row>
    <row r="28" spans="18:21" ht="15.75">
      <c r="R28" s="32">
        <v>3.3</v>
      </c>
      <c r="S28" s="39">
        <v>340</v>
      </c>
      <c r="T28" s="39">
        <v>420</v>
      </c>
      <c r="U28" s="38">
        <f t="shared" si="2"/>
        <v>115.15151515151516</v>
      </c>
    </row>
    <row r="29" spans="1:14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2:4" ht="15.75">
      <c r="B30" t="s">
        <v>97</v>
      </c>
      <c r="D30" t="s">
        <v>85</v>
      </c>
    </row>
    <row r="31" spans="3:8" ht="15.75">
      <c r="C31" s="21" t="s">
        <v>84</v>
      </c>
      <c r="D31" s="21"/>
      <c r="H31" t="s">
        <v>98</v>
      </c>
    </row>
    <row r="32" spans="1:8" ht="15.75">
      <c r="A32" s="22" t="s">
        <v>25</v>
      </c>
      <c r="B32" s="22" t="s">
        <v>81</v>
      </c>
      <c r="C32" s="22" t="s">
        <v>82</v>
      </c>
      <c r="D32" s="22" t="s">
        <v>83</v>
      </c>
      <c r="E32" s="22" t="s">
        <v>84</v>
      </c>
      <c r="H32" t="s">
        <v>99</v>
      </c>
    </row>
    <row r="33" spans="1:5" ht="15.75">
      <c r="A33" t="s">
        <v>92</v>
      </c>
      <c r="C33" s="38">
        <f>AVERAGE(E47:E61)</f>
        <v>60.98494503442855</v>
      </c>
      <c r="D33" s="38">
        <f>AVERAGE(E63:E69)</f>
        <v>88.87706984106617</v>
      </c>
      <c r="E33" s="38">
        <f>AVERAGE(C33:D33)</f>
        <v>74.93100743774735</v>
      </c>
    </row>
    <row r="35" spans="9:21" ht="15.75">
      <c r="I35" t="s">
        <v>100</v>
      </c>
      <c r="K35" t="s">
        <v>101</v>
      </c>
      <c r="M35" t="s">
        <v>102</v>
      </c>
      <c r="O35" t="s">
        <v>103</v>
      </c>
      <c r="Q35" t="s">
        <v>104</v>
      </c>
      <c r="U35" t="s">
        <v>86</v>
      </c>
    </row>
    <row r="36" spans="1:23" ht="15.75">
      <c r="A36" s="22"/>
      <c r="H36" t="s">
        <v>105</v>
      </c>
      <c r="I36" t="s">
        <v>106</v>
      </c>
      <c r="J36" t="s">
        <v>107</v>
      </c>
      <c r="K36" t="s">
        <v>106</v>
      </c>
      <c r="L36" t="s">
        <v>107</v>
      </c>
      <c r="M36" t="s">
        <v>106</v>
      </c>
      <c r="N36" t="s">
        <v>107</v>
      </c>
      <c r="O36" t="s">
        <v>106</v>
      </c>
      <c r="P36" t="s">
        <v>107</v>
      </c>
      <c r="Q36" s="16" t="s">
        <v>100</v>
      </c>
      <c r="R36" s="16" t="s">
        <v>101</v>
      </c>
      <c r="S36" s="16" t="s">
        <v>102</v>
      </c>
      <c r="T36" s="16" t="s">
        <v>103</v>
      </c>
      <c r="U36" s="16" t="s">
        <v>108</v>
      </c>
      <c r="V36" s="16" t="s">
        <v>109</v>
      </c>
      <c r="W36" s="16" t="s">
        <v>92</v>
      </c>
    </row>
    <row r="37" spans="1:23" ht="15.75">
      <c r="A37" t="s">
        <v>95</v>
      </c>
      <c r="B37" t="s">
        <v>110</v>
      </c>
      <c r="C37" s="38">
        <f>19/0.16</f>
        <v>118.75</v>
      </c>
      <c r="D37" s="38">
        <f>16/0.155</f>
        <v>103.22580645161291</v>
      </c>
      <c r="E37" s="51">
        <f>(AVERAGE(C37:C44)+AVERAGE(D37:D42))/2</f>
        <v>99.20753349928876</v>
      </c>
      <c r="G37" t="s">
        <v>82</v>
      </c>
      <c r="H37" t="s">
        <v>111</v>
      </c>
      <c r="I37" t="s">
        <v>112</v>
      </c>
      <c r="J37" t="s">
        <v>113</v>
      </c>
      <c r="K37" t="s">
        <v>114</v>
      </c>
      <c r="L37" t="s">
        <v>115</v>
      </c>
      <c r="M37" t="s">
        <v>116</v>
      </c>
      <c r="N37" t="s">
        <v>117</v>
      </c>
      <c r="O37" t="s">
        <v>118</v>
      </c>
      <c r="P37" t="s">
        <v>119</v>
      </c>
      <c r="Q37" s="38">
        <f>1000*I37/J37</f>
        <v>153.76712328767124</v>
      </c>
      <c r="R37" s="38">
        <f>1000*K37/L37</f>
        <v>149.81525025193147</v>
      </c>
      <c r="S37" s="38">
        <f>1000*M37/N37</f>
        <v>155.6636553161918</v>
      </c>
      <c r="T37" s="38">
        <f>1000*O37/P37</f>
        <v>145.48494983277592</v>
      </c>
      <c r="U37" s="38">
        <f>AVERAGE(Q37:T37)</f>
        <v>151.1827446721426</v>
      </c>
      <c r="V37" s="38">
        <f>AVERAGE(U37,U41,U45,U49,U53,U57)</f>
        <v>142.4930238990245</v>
      </c>
      <c r="W37" s="38">
        <f>AVERAGE(U37:U59)</f>
        <v>107.34236312207454</v>
      </c>
    </row>
    <row r="38" spans="2:21" ht="15.75">
      <c r="B38" t="s">
        <v>109</v>
      </c>
      <c r="C38" s="38">
        <f>22/0.343</f>
        <v>64.13994169096209</v>
      </c>
      <c r="D38" s="38">
        <f>19/0.193</f>
        <v>98.44559585492227</v>
      </c>
      <c r="G38" t="s">
        <v>120</v>
      </c>
      <c r="H38" t="s">
        <v>121</v>
      </c>
      <c r="I38" t="s">
        <v>122</v>
      </c>
      <c r="J38" t="s">
        <v>123</v>
      </c>
      <c r="K38" t="s">
        <v>124</v>
      </c>
      <c r="L38" t="s">
        <v>125</v>
      </c>
      <c r="M38" t="s">
        <v>126</v>
      </c>
      <c r="N38" t="s">
        <v>127</v>
      </c>
      <c r="O38" t="s">
        <v>128</v>
      </c>
      <c r="P38" t="s">
        <v>125</v>
      </c>
      <c r="Q38" s="38">
        <f aca="true" t="shared" si="3" ref="Q38:Q59">1000*I38/J38</f>
        <v>109.07403109770247</v>
      </c>
      <c r="R38" s="38">
        <f aca="true" t="shared" si="4" ref="R38:R59">1000*K38/L38</f>
        <v>115.05048133364639</v>
      </c>
      <c r="S38" s="38">
        <f aca="true" t="shared" si="5" ref="S38:S59">1000*M38/N38</f>
        <v>113.14911862791807</v>
      </c>
      <c r="T38" s="38">
        <f aca="true" t="shared" si="6" ref="T38:T59">1000*O38/P38</f>
        <v>108.47616811458087</v>
      </c>
      <c r="U38" s="38">
        <f aca="true" t="shared" si="7" ref="U38:U59">AVERAGE(Q38:T38)</f>
        <v>111.43744979346195</v>
      </c>
    </row>
    <row r="39" spans="2:21" ht="15.75">
      <c r="B39" t="s">
        <v>110</v>
      </c>
      <c r="C39" s="38">
        <f>18/0.159</f>
        <v>113.20754716981132</v>
      </c>
      <c r="D39" s="38">
        <f>19/0.113</f>
        <v>168.141592920354</v>
      </c>
      <c r="H39" t="s">
        <v>129</v>
      </c>
      <c r="I39" t="s">
        <v>124</v>
      </c>
      <c r="J39" t="s">
        <v>130</v>
      </c>
      <c r="K39" t="s">
        <v>124</v>
      </c>
      <c r="L39" t="s">
        <v>131</v>
      </c>
      <c r="M39" t="s">
        <v>118</v>
      </c>
      <c r="N39" t="s">
        <v>132</v>
      </c>
      <c r="O39" t="s">
        <v>122</v>
      </c>
      <c r="P39" t="s">
        <v>133</v>
      </c>
      <c r="Q39" s="38">
        <f t="shared" si="3"/>
        <v>105.64898663216903</v>
      </c>
      <c r="R39" s="38">
        <f t="shared" si="4"/>
        <v>107.78706555213374</v>
      </c>
      <c r="S39" s="38">
        <f t="shared" si="5"/>
        <v>96.34551495016612</v>
      </c>
      <c r="T39" s="38">
        <f t="shared" si="6"/>
        <v>107.33044073989495</v>
      </c>
      <c r="U39" s="38">
        <f t="shared" si="7"/>
        <v>104.27800196859096</v>
      </c>
    </row>
    <row r="40" spans="2:21" ht="15.75">
      <c r="B40" t="s">
        <v>109</v>
      </c>
      <c r="C40" s="38">
        <f>19/0.333</f>
        <v>57.05705705705705</v>
      </c>
      <c r="D40" s="38">
        <f>16/0.187</f>
        <v>85.56149732620321</v>
      </c>
      <c r="Q40" s="38"/>
      <c r="R40" s="38"/>
      <c r="S40" s="38"/>
      <c r="T40" s="38"/>
      <c r="U40" s="38"/>
    </row>
    <row r="41" spans="1:21" ht="15.75">
      <c r="A41" t="s">
        <v>134</v>
      </c>
      <c r="C41">
        <v>79</v>
      </c>
      <c r="D41">
        <v>114</v>
      </c>
      <c r="H41" t="s">
        <v>111</v>
      </c>
      <c r="I41" t="s">
        <v>135</v>
      </c>
      <c r="J41" t="s">
        <v>136</v>
      </c>
      <c r="K41" t="s">
        <v>137</v>
      </c>
      <c r="L41" t="s">
        <v>138</v>
      </c>
      <c r="M41" t="s">
        <v>139</v>
      </c>
      <c r="N41" t="s">
        <v>140</v>
      </c>
      <c r="O41" t="s">
        <v>141</v>
      </c>
      <c r="P41" t="s">
        <v>142</v>
      </c>
      <c r="Q41" s="38">
        <f t="shared" si="3"/>
        <v>147.63977234683628</v>
      </c>
      <c r="R41" s="38">
        <f t="shared" si="4"/>
        <v>142.01999310582556</v>
      </c>
      <c r="S41" s="38">
        <f t="shared" si="5"/>
        <v>140.69487444100446</v>
      </c>
      <c r="T41" s="38">
        <f t="shared" si="6"/>
        <v>138.01288572397425</v>
      </c>
      <c r="U41" s="38">
        <f t="shared" si="7"/>
        <v>142.09188140441015</v>
      </c>
    </row>
    <row r="42" spans="3:30" ht="15.75">
      <c r="C42">
        <v>75</v>
      </c>
      <c r="D42">
        <v>129</v>
      </c>
      <c r="H42" t="s">
        <v>121</v>
      </c>
      <c r="I42" t="s">
        <v>128</v>
      </c>
      <c r="J42" t="s">
        <v>143</v>
      </c>
      <c r="K42" t="s">
        <v>144</v>
      </c>
      <c r="L42" t="s">
        <v>145</v>
      </c>
      <c r="M42" t="s">
        <v>146</v>
      </c>
      <c r="N42" t="s">
        <v>147</v>
      </c>
      <c r="O42" t="s">
        <v>148</v>
      </c>
      <c r="P42" t="s">
        <v>149</v>
      </c>
      <c r="Q42" s="38">
        <f t="shared" si="3"/>
        <v>108.32356389214537</v>
      </c>
      <c r="R42" s="38">
        <f t="shared" si="4"/>
        <v>94.21641791044776</v>
      </c>
      <c r="S42" s="38">
        <f t="shared" si="5"/>
        <v>103.19351763584366</v>
      </c>
      <c r="T42" s="38">
        <f t="shared" si="6"/>
        <v>95.52656104380242</v>
      </c>
      <c r="U42" s="38">
        <f t="shared" si="7"/>
        <v>100.3150151205598</v>
      </c>
      <c r="W42" t="s">
        <v>90</v>
      </c>
      <c r="X42" t="s">
        <v>150</v>
      </c>
      <c r="Z42" t="s">
        <v>120</v>
      </c>
      <c r="AB42" t="s">
        <v>150</v>
      </c>
      <c r="AD42" t="s">
        <v>120</v>
      </c>
    </row>
    <row r="43" spans="1:31" ht="15.75">
      <c r="A43" s="22"/>
      <c r="C43">
        <v>75</v>
      </c>
      <c r="H43" t="s">
        <v>129</v>
      </c>
      <c r="I43" t="s">
        <v>151</v>
      </c>
      <c r="J43" t="s">
        <v>152</v>
      </c>
      <c r="K43" t="s">
        <v>153</v>
      </c>
      <c r="L43" t="s">
        <v>154</v>
      </c>
      <c r="M43" t="s">
        <v>144</v>
      </c>
      <c r="N43" t="s">
        <v>155</v>
      </c>
      <c r="O43" t="s">
        <v>156</v>
      </c>
      <c r="P43" t="s">
        <v>157</v>
      </c>
      <c r="Q43" s="38">
        <f t="shared" si="3"/>
        <v>89.88764044943821</v>
      </c>
      <c r="R43" s="38">
        <f t="shared" si="4"/>
        <v>86.23399955086458</v>
      </c>
      <c r="S43" s="38">
        <f t="shared" si="5"/>
        <v>89.16354005738248</v>
      </c>
      <c r="T43" s="38">
        <f t="shared" si="6"/>
        <v>89.6819949668268</v>
      </c>
      <c r="U43" s="38">
        <f t="shared" si="7"/>
        <v>88.74179375612802</v>
      </c>
      <c r="X43" t="s">
        <v>79</v>
      </c>
      <c r="Y43" t="s">
        <v>79</v>
      </c>
      <c r="Z43" t="s">
        <v>79</v>
      </c>
      <c r="AA43" t="s">
        <v>79</v>
      </c>
      <c r="AB43" t="s">
        <v>104</v>
      </c>
      <c r="AC43" t="s">
        <v>104</v>
      </c>
      <c r="AD43" t="s">
        <v>104</v>
      </c>
      <c r="AE43" t="s">
        <v>104</v>
      </c>
    </row>
    <row r="44" spans="1:31" ht="15.75">
      <c r="A44" t="s">
        <v>26</v>
      </c>
      <c r="B44" t="s">
        <v>158</v>
      </c>
      <c r="C44">
        <v>74</v>
      </c>
      <c r="Q44" s="38"/>
      <c r="R44" s="38"/>
      <c r="S44" s="38"/>
      <c r="T44" s="38"/>
      <c r="U44" s="38"/>
      <c r="W44" t="s">
        <v>159</v>
      </c>
      <c r="X44" t="s">
        <v>82</v>
      </c>
      <c r="Y44" t="s">
        <v>83</v>
      </c>
      <c r="Z44" t="s">
        <v>82</v>
      </c>
      <c r="AA44" t="s">
        <v>83</v>
      </c>
      <c r="AB44" t="s">
        <v>82</v>
      </c>
      <c r="AC44" t="s">
        <v>83</v>
      </c>
      <c r="AD44" t="s">
        <v>82</v>
      </c>
      <c r="AE44" t="s">
        <v>83</v>
      </c>
    </row>
    <row r="45" spans="1:31" ht="15.75">
      <c r="A45" t="s">
        <v>92</v>
      </c>
      <c r="H45" t="s">
        <v>111</v>
      </c>
      <c r="I45" t="s">
        <v>160</v>
      </c>
      <c r="J45" t="s">
        <v>161</v>
      </c>
      <c r="K45" t="s">
        <v>162</v>
      </c>
      <c r="L45" t="s">
        <v>163</v>
      </c>
      <c r="M45" t="s">
        <v>164</v>
      </c>
      <c r="N45" t="s">
        <v>165</v>
      </c>
      <c r="O45" t="s">
        <v>166</v>
      </c>
      <c r="P45" t="s">
        <v>167</v>
      </c>
      <c r="Q45" s="38">
        <f t="shared" si="3"/>
        <v>132.991452991453</v>
      </c>
      <c r="R45" s="38">
        <f t="shared" si="4"/>
        <v>130.33012379642366</v>
      </c>
      <c r="S45" s="38">
        <f t="shared" si="5"/>
        <v>130.4199385455787</v>
      </c>
      <c r="T45" s="38">
        <f t="shared" si="6"/>
        <v>128.35120643431637</v>
      </c>
      <c r="U45" s="38">
        <f t="shared" si="7"/>
        <v>130.52318044194294</v>
      </c>
      <c r="V45" s="16" t="s">
        <v>168</v>
      </c>
      <c r="W45">
        <v>125</v>
      </c>
      <c r="X45">
        <v>10</v>
      </c>
      <c r="Y45">
        <v>12</v>
      </c>
      <c r="Z45">
        <v>16</v>
      </c>
      <c r="AA45">
        <v>17</v>
      </c>
      <c r="AB45" s="52">
        <f>1000*X45/$W45</f>
        <v>80</v>
      </c>
      <c r="AC45" s="52">
        <f>1000*Y45/$W45</f>
        <v>96</v>
      </c>
      <c r="AD45" s="52">
        <f>1000*Z45/$W45</f>
        <v>128</v>
      </c>
      <c r="AE45" s="52">
        <f>1000*AA45/$W45</f>
        <v>136</v>
      </c>
    </row>
    <row r="46" spans="3:31" ht="15.75">
      <c r="C46" s="47" t="s">
        <v>169</v>
      </c>
      <c r="D46" s="53" t="s">
        <v>170</v>
      </c>
      <c r="E46" s="54" t="s">
        <v>104</v>
      </c>
      <c r="H46" t="s">
        <v>121</v>
      </c>
      <c r="I46" t="s">
        <v>171</v>
      </c>
      <c r="J46" t="s">
        <v>172</v>
      </c>
      <c r="K46" t="s">
        <v>173</v>
      </c>
      <c r="L46" t="s">
        <v>174</v>
      </c>
      <c r="M46" t="s">
        <v>175</v>
      </c>
      <c r="N46" t="s">
        <v>176</v>
      </c>
      <c r="O46" t="s">
        <v>177</v>
      </c>
      <c r="P46" t="s">
        <v>178</v>
      </c>
      <c r="Q46" s="38">
        <f t="shared" si="3"/>
        <v>86.93630869363086</v>
      </c>
      <c r="R46" s="38">
        <f t="shared" si="4"/>
        <v>86.39359698681733</v>
      </c>
      <c r="S46" s="38">
        <f t="shared" si="5"/>
        <v>90.78047630275879</v>
      </c>
      <c r="T46" s="38">
        <f t="shared" si="6"/>
        <v>89.21591170383996</v>
      </c>
      <c r="U46" s="38">
        <f t="shared" si="7"/>
        <v>88.33157342176173</v>
      </c>
      <c r="W46">
        <v>250</v>
      </c>
      <c r="X46">
        <v>20</v>
      </c>
      <c r="Y46">
        <v>23</v>
      </c>
      <c r="Z46">
        <v>30</v>
      </c>
      <c r="AA46">
        <v>34</v>
      </c>
      <c r="AB46" s="52">
        <f aca="true" t="shared" si="8" ref="AB46:AB52">1000*X46/$W46</f>
        <v>80</v>
      </c>
      <c r="AC46" s="52">
        <f aca="true" t="shared" si="9" ref="AC46:AC52">1000*Y46/$W46</f>
        <v>92</v>
      </c>
      <c r="AD46" s="52">
        <f aca="true" t="shared" si="10" ref="AD46:AD52">1000*Z46/$W46</f>
        <v>120</v>
      </c>
      <c r="AE46" s="52">
        <f aca="true" t="shared" si="11" ref="AE46:AE52">1000*AA46/$W46</f>
        <v>136</v>
      </c>
    </row>
    <row r="47" spans="2:31" ht="15.75">
      <c r="B47" t="s">
        <v>179</v>
      </c>
      <c r="C47" s="32">
        <v>23.6</v>
      </c>
      <c r="D47" s="55">
        <v>298</v>
      </c>
      <c r="E47" s="56">
        <f>C47*1000/D47</f>
        <v>79.19463087248322</v>
      </c>
      <c r="H47" t="s">
        <v>129</v>
      </c>
      <c r="I47" t="s">
        <v>180</v>
      </c>
      <c r="J47" t="s">
        <v>181</v>
      </c>
      <c r="K47" t="s">
        <v>182</v>
      </c>
      <c r="L47" t="s">
        <v>183</v>
      </c>
      <c r="M47" t="s">
        <v>184</v>
      </c>
      <c r="N47" t="s">
        <v>185</v>
      </c>
      <c r="O47" t="s">
        <v>156</v>
      </c>
      <c r="P47" t="s">
        <v>186</v>
      </c>
      <c r="Q47" s="38">
        <f t="shared" si="3"/>
        <v>71.80616740088107</v>
      </c>
      <c r="R47" s="38">
        <f t="shared" si="4"/>
        <v>77.16464782413638</v>
      </c>
      <c r="S47" s="38">
        <f t="shared" si="5"/>
        <v>77.86976952338331</v>
      </c>
      <c r="T47" s="38">
        <f t="shared" si="6"/>
        <v>90.63583815028902</v>
      </c>
      <c r="U47" s="38">
        <f t="shared" si="7"/>
        <v>79.36910572467245</v>
      </c>
      <c r="W47">
        <v>500</v>
      </c>
      <c r="X47">
        <v>40</v>
      </c>
      <c r="Y47">
        <v>48</v>
      </c>
      <c r="Z47">
        <v>56</v>
      </c>
      <c r="AA47">
        <v>67</v>
      </c>
      <c r="AB47" s="52">
        <f t="shared" si="8"/>
        <v>80</v>
      </c>
      <c r="AC47" s="52">
        <f t="shared" si="9"/>
        <v>96</v>
      </c>
      <c r="AD47" s="52">
        <f t="shared" si="10"/>
        <v>112</v>
      </c>
      <c r="AE47" s="52">
        <f t="shared" si="11"/>
        <v>134</v>
      </c>
    </row>
    <row r="48" spans="2:31" ht="15.75">
      <c r="B48" t="s">
        <v>150</v>
      </c>
      <c r="C48" s="32">
        <v>23.2</v>
      </c>
      <c r="D48" s="55">
        <v>428</v>
      </c>
      <c r="E48" s="56">
        <f aca="true" t="shared" si="12" ref="E48:E69">C48*1000/D48</f>
        <v>54.205607476635514</v>
      </c>
      <c r="Q48" s="38"/>
      <c r="R48" s="38"/>
      <c r="S48" s="38"/>
      <c r="T48" s="38"/>
      <c r="U48" s="38"/>
      <c r="W48">
        <v>1000</v>
      </c>
      <c r="X48">
        <v>90</v>
      </c>
      <c r="Y48">
        <v>93</v>
      </c>
      <c r="Z48">
        <v>115</v>
      </c>
      <c r="AA48">
        <v>132</v>
      </c>
      <c r="AB48" s="52">
        <f t="shared" si="8"/>
        <v>90</v>
      </c>
      <c r="AC48" s="52">
        <f t="shared" si="9"/>
        <v>93</v>
      </c>
      <c r="AD48" s="52">
        <f t="shared" si="10"/>
        <v>115</v>
      </c>
      <c r="AE48" s="52">
        <f t="shared" si="11"/>
        <v>132</v>
      </c>
    </row>
    <row r="49" spans="1:21" ht="15.75">
      <c r="A49" s="22"/>
      <c r="C49" s="32">
        <v>22.3</v>
      </c>
      <c r="D49" s="55">
        <v>451</v>
      </c>
      <c r="E49" s="56">
        <f t="shared" si="12"/>
        <v>49.44567627494457</v>
      </c>
      <c r="G49" t="s">
        <v>83</v>
      </c>
      <c r="H49" t="s">
        <v>111</v>
      </c>
      <c r="I49" t="s">
        <v>187</v>
      </c>
      <c r="J49" t="s">
        <v>188</v>
      </c>
      <c r="K49" t="s">
        <v>189</v>
      </c>
      <c r="L49" t="s">
        <v>190</v>
      </c>
      <c r="M49" t="s">
        <v>191</v>
      </c>
      <c r="N49" t="s">
        <v>192</v>
      </c>
      <c r="O49" t="s">
        <v>189</v>
      </c>
      <c r="P49" t="s">
        <v>193</v>
      </c>
      <c r="Q49" s="38">
        <f t="shared" si="3"/>
        <v>147.27954971857412</v>
      </c>
      <c r="R49" s="38">
        <f t="shared" si="4"/>
        <v>142.32730644413536</v>
      </c>
      <c r="S49" s="38">
        <f t="shared" si="5"/>
        <v>144.61830251303937</v>
      </c>
      <c r="T49" s="38">
        <f t="shared" si="6"/>
        <v>143.86129334582944</v>
      </c>
      <c r="U49" s="38">
        <f t="shared" si="7"/>
        <v>144.52161300539456</v>
      </c>
    </row>
    <row r="50" spans="1:31" ht="15.75">
      <c r="A50" t="s">
        <v>96</v>
      </c>
      <c r="B50" t="s">
        <v>158</v>
      </c>
      <c r="C50" s="32"/>
      <c r="D50" s="55"/>
      <c r="E50" s="57"/>
      <c r="G50" t="s">
        <v>120</v>
      </c>
      <c r="H50" t="s">
        <v>121</v>
      </c>
      <c r="I50" t="s">
        <v>194</v>
      </c>
      <c r="J50" t="s">
        <v>195</v>
      </c>
      <c r="K50" t="s">
        <v>180</v>
      </c>
      <c r="L50" t="s">
        <v>196</v>
      </c>
      <c r="M50" t="s">
        <v>197</v>
      </c>
      <c r="N50" t="s">
        <v>198</v>
      </c>
      <c r="O50" t="s">
        <v>199</v>
      </c>
      <c r="P50" t="s">
        <v>200</v>
      </c>
      <c r="Q50" s="38">
        <f t="shared" si="3"/>
        <v>103.61067503924646</v>
      </c>
      <c r="R50" s="38">
        <f t="shared" si="4"/>
        <v>100.89755493655214</v>
      </c>
      <c r="S50" s="38">
        <f t="shared" si="5"/>
        <v>102.73327049952876</v>
      </c>
      <c r="T50" s="38">
        <f t="shared" si="6"/>
        <v>96.20024125452353</v>
      </c>
      <c r="U50" s="38">
        <f t="shared" si="7"/>
        <v>100.86043543246272</v>
      </c>
      <c r="V50" s="16" t="s">
        <v>201</v>
      </c>
      <c r="W50">
        <v>50</v>
      </c>
      <c r="X50">
        <v>2</v>
      </c>
      <c r="Y50">
        <v>2</v>
      </c>
      <c r="Z50">
        <v>4</v>
      </c>
      <c r="AA50">
        <v>4</v>
      </c>
      <c r="AB50" s="52">
        <f t="shared" si="8"/>
        <v>40</v>
      </c>
      <c r="AC50" s="52">
        <f t="shared" si="9"/>
        <v>40</v>
      </c>
      <c r="AD50" s="52">
        <f t="shared" si="10"/>
        <v>80</v>
      </c>
      <c r="AE50" s="52">
        <f t="shared" si="11"/>
        <v>80</v>
      </c>
    </row>
    <row r="51" spans="3:31" ht="15.75">
      <c r="C51" s="32">
        <v>22.5</v>
      </c>
      <c r="D51" s="55">
        <v>299</v>
      </c>
      <c r="E51" s="56">
        <f t="shared" si="12"/>
        <v>75.25083612040133</v>
      </c>
      <c r="H51" t="s">
        <v>129</v>
      </c>
      <c r="I51" t="s">
        <v>197</v>
      </c>
      <c r="J51" t="s">
        <v>202</v>
      </c>
      <c r="K51" t="s">
        <v>203</v>
      </c>
      <c r="L51" t="s">
        <v>204</v>
      </c>
      <c r="M51" t="s">
        <v>205</v>
      </c>
      <c r="N51" t="s">
        <v>206</v>
      </c>
      <c r="O51" t="s">
        <v>207</v>
      </c>
      <c r="P51" t="s">
        <v>208</v>
      </c>
      <c r="Q51" s="38">
        <f t="shared" si="3"/>
        <v>68.29573934837093</v>
      </c>
      <c r="R51" s="38">
        <f t="shared" si="4"/>
        <v>69.12346450135333</v>
      </c>
      <c r="S51" s="38">
        <f t="shared" si="5"/>
        <v>73.50815610158992</v>
      </c>
      <c r="T51" s="38">
        <f t="shared" si="6"/>
        <v>75.0329091706889</v>
      </c>
      <c r="U51" s="38">
        <f t="shared" si="7"/>
        <v>71.49006728050077</v>
      </c>
      <c r="W51">
        <v>500</v>
      </c>
      <c r="X51">
        <v>20</v>
      </c>
      <c r="Y51">
        <v>25</v>
      </c>
      <c r="Z51">
        <v>45</v>
      </c>
      <c r="AA51">
        <v>35</v>
      </c>
      <c r="AB51" s="52">
        <f t="shared" si="8"/>
        <v>40</v>
      </c>
      <c r="AC51" s="52">
        <f t="shared" si="9"/>
        <v>50</v>
      </c>
      <c r="AD51" s="52">
        <f t="shared" si="10"/>
        <v>90</v>
      </c>
      <c r="AE51" s="52">
        <f t="shared" si="11"/>
        <v>70</v>
      </c>
    </row>
    <row r="52" spans="3:31" ht="15.75">
      <c r="C52" s="32">
        <v>23.5</v>
      </c>
      <c r="D52" s="55">
        <v>428</v>
      </c>
      <c r="E52" s="56">
        <f t="shared" si="12"/>
        <v>54.90654205607477</v>
      </c>
      <c r="Q52" s="38"/>
      <c r="R52" s="38"/>
      <c r="S52" s="38"/>
      <c r="T52" s="38"/>
      <c r="U52" s="38"/>
      <c r="W52">
        <v>1000</v>
      </c>
      <c r="X52">
        <v>40</v>
      </c>
      <c r="Y52">
        <v>45</v>
      </c>
      <c r="Z52">
        <v>87</v>
      </c>
      <c r="AA52">
        <v>65</v>
      </c>
      <c r="AB52" s="52">
        <f t="shared" si="8"/>
        <v>40</v>
      </c>
      <c r="AC52" s="52">
        <f t="shared" si="9"/>
        <v>45</v>
      </c>
      <c r="AD52" s="52">
        <f t="shared" si="10"/>
        <v>87</v>
      </c>
      <c r="AE52" s="52">
        <f t="shared" si="11"/>
        <v>65</v>
      </c>
    </row>
    <row r="53" spans="3:21" ht="15.75">
      <c r="C53" s="32">
        <v>22</v>
      </c>
      <c r="D53" s="55">
        <v>446</v>
      </c>
      <c r="E53" s="56">
        <f t="shared" si="12"/>
        <v>49.327354260089685</v>
      </c>
      <c r="H53" t="s">
        <v>111</v>
      </c>
      <c r="I53" t="s">
        <v>209</v>
      </c>
      <c r="J53" t="s">
        <v>210</v>
      </c>
      <c r="K53" t="s">
        <v>211</v>
      </c>
      <c r="L53" t="s">
        <v>212</v>
      </c>
      <c r="M53" t="s">
        <v>213</v>
      </c>
      <c r="N53" t="s">
        <v>214</v>
      </c>
      <c r="O53" t="s">
        <v>213</v>
      </c>
      <c r="P53" t="s">
        <v>215</v>
      </c>
      <c r="Q53" s="38">
        <f t="shared" si="3"/>
        <v>143.18078840054372</v>
      </c>
      <c r="R53" s="38">
        <f t="shared" si="4"/>
        <v>146.44351464435147</v>
      </c>
      <c r="S53" s="38">
        <f t="shared" si="5"/>
        <v>140.9176029962547</v>
      </c>
      <c r="T53" s="38">
        <f t="shared" si="6"/>
        <v>141.71374764595106</v>
      </c>
      <c r="U53" s="38">
        <f t="shared" si="7"/>
        <v>143.06391342177523</v>
      </c>
    </row>
    <row r="54" spans="3:21" ht="15.75">
      <c r="C54" s="32"/>
      <c r="D54" s="55"/>
      <c r="E54" s="56"/>
      <c r="H54" t="s">
        <v>121</v>
      </c>
      <c r="I54" t="s">
        <v>216</v>
      </c>
      <c r="J54" t="s">
        <v>217</v>
      </c>
      <c r="K54" t="s">
        <v>218</v>
      </c>
      <c r="L54" t="s">
        <v>219</v>
      </c>
      <c r="M54" t="s">
        <v>220</v>
      </c>
      <c r="N54" t="s">
        <v>221</v>
      </c>
      <c r="O54" t="s">
        <v>222</v>
      </c>
      <c r="P54" t="s">
        <v>223</v>
      </c>
      <c r="Q54" s="38">
        <f t="shared" si="3"/>
        <v>92.20063786604813</v>
      </c>
      <c r="R54" s="38">
        <f t="shared" si="4"/>
        <v>100.48869883934024</v>
      </c>
      <c r="S54" s="38">
        <f t="shared" si="5"/>
        <v>98.26410415375078</v>
      </c>
      <c r="T54" s="38">
        <f t="shared" si="6"/>
        <v>95.64949089787103</v>
      </c>
      <c r="U54" s="38">
        <f t="shared" si="7"/>
        <v>96.65073293925253</v>
      </c>
    </row>
    <row r="55" spans="3:21" ht="15.75">
      <c r="C55" s="32">
        <v>22.6</v>
      </c>
      <c r="D55" s="55">
        <v>303</v>
      </c>
      <c r="E55" s="56">
        <f t="shared" si="12"/>
        <v>74.58745874587459</v>
      </c>
      <c r="H55" t="s">
        <v>129</v>
      </c>
      <c r="I55" t="s">
        <v>224</v>
      </c>
      <c r="J55" t="s">
        <v>225</v>
      </c>
      <c r="K55" t="s">
        <v>226</v>
      </c>
      <c r="L55" t="s">
        <v>227</v>
      </c>
      <c r="M55" t="s">
        <v>228</v>
      </c>
      <c r="N55" t="s">
        <v>229</v>
      </c>
      <c r="O55" t="s">
        <v>213</v>
      </c>
      <c r="P55" t="s">
        <v>230</v>
      </c>
      <c r="Q55" s="38">
        <f t="shared" si="3"/>
        <v>59.781488352916924</v>
      </c>
      <c r="R55" s="38">
        <f t="shared" si="4"/>
        <v>66.46719384483865</v>
      </c>
      <c r="S55" s="38">
        <f t="shared" si="5"/>
        <v>71.14711033274956</v>
      </c>
      <c r="T55" s="38">
        <f t="shared" si="6"/>
        <v>68.84720951509607</v>
      </c>
      <c r="U55" s="38">
        <f t="shared" si="7"/>
        <v>66.5607505114003</v>
      </c>
    </row>
    <row r="56" spans="3:21" ht="15.75">
      <c r="C56" s="32">
        <v>23.2</v>
      </c>
      <c r="D56" s="55">
        <v>432</v>
      </c>
      <c r="E56" s="56">
        <f t="shared" si="12"/>
        <v>53.7037037037037</v>
      </c>
      <c r="Q56" s="38"/>
      <c r="R56" s="38"/>
      <c r="S56" s="38"/>
      <c r="T56" s="38"/>
      <c r="U56" s="38"/>
    </row>
    <row r="57" spans="3:21" ht="15.75">
      <c r="C57" s="32">
        <v>22.5</v>
      </c>
      <c r="D57" s="55">
        <v>444</v>
      </c>
      <c r="E57" s="56">
        <f t="shared" si="12"/>
        <v>50.67567567567568</v>
      </c>
      <c r="H57" t="s">
        <v>111</v>
      </c>
      <c r="I57" t="s">
        <v>231</v>
      </c>
      <c r="J57" t="s">
        <v>215</v>
      </c>
      <c r="K57" t="s">
        <v>211</v>
      </c>
      <c r="L57" t="s">
        <v>232</v>
      </c>
      <c r="M57" t="s">
        <v>233</v>
      </c>
      <c r="N57" t="s">
        <v>234</v>
      </c>
      <c r="O57" t="s">
        <v>189</v>
      </c>
      <c r="P57" t="s">
        <v>234</v>
      </c>
      <c r="Q57" s="38">
        <f t="shared" si="3"/>
        <v>141.24293785310735</v>
      </c>
      <c r="R57" s="38">
        <f t="shared" si="4"/>
        <v>147.54098360655738</v>
      </c>
      <c r="S57" s="38">
        <f t="shared" si="5"/>
        <v>142.98978644382544</v>
      </c>
      <c r="T57" s="38">
        <f t="shared" si="6"/>
        <v>142.5255338904364</v>
      </c>
      <c r="U57" s="38">
        <f t="shared" si="7"/>
        <v>143.57481044848163</v>
      </c>
    </row>
    <row r="58" spans="3:21" ht="15.75">
      <c r="C58" s="32"/>
      <c r="D58" s="55"/>
      <c r="E58" s="56"/>
      <c r="H58" t="s">
        <v>121</v>
      </c>
      <c r="I58" t="s">
        <v>235</v>
      </c>
      <c r="J58" t="s">
        <v>198</v>
      </c>
      <c r="K58" t="s">
        <v>236</v>
      </c>
      <c r="L58" t="s">
        <v>237</v>
      </c>
      <c r="M58" t="s">
        <v>238</v>
      </c>
      <c r="N58" t="s">
        <v>239</v>
      </c>
      <c r="O58" t="s">
        <v>240</v>
      </c>
      <c r="P58" t="s">
        <v>241</v>
      </c>
      <c r="Q58" s="38">
        <f t="shared" si="3"/>
        <v>100.84825636192272</v>
      </c>
      <c r="R58" s="38">
        <f t="shared" si="4"/>
        <v>105.625</v>
      </c>
      <c r="S58" s="38">
        <f t="shared" si="5"/>
        <v>101.22218740206831</v>
      </c>
      <c r="T58" s="38">
        <f t="shared" si="6"/>
        <v>97.31036566938651</v>
      </c>
      <c r="U58" s="38">
        <f t="shared" si="7"/>
        <v>101.25145235834438</v>
      </c>
    </row>
    <row r="59" spans="3:21" ht="15.75">
      <c r="C59" s="32">
        <v>22.1</v>
      </c>
      <c r="D59" s="55">
        <v>299</v>
      </c>
      <c r="E59" s="56">
        <f t="shared" si="12"/>
        <v>73.91304347826087</v>
      </c>
      <c r="H59" t="s">
        <v>129</v>
      </c>
      <c r="I59" t="s">
        <v>242</v>
      </c>
      <c r="J59" t="s">
        <v>243</v>
      </c>
      <c r="K59" t="s">
        <v>244</v>
      </c>
      <c r="L59" t="s">
        <v>245</v>
      </c>
      <c r="M59" t="s">
        <v>246</v>
      </c>
      <c r="N59" t="s">
        <v>247</v>
      </c>
      <c r="O59" t="s">
        <v>238</v>
      </c>
      <c r="P59" t="s">
        <v>248</v>
      </c>
      <c r="Q59" s="38">
        <f t="shared" si="3"/>
        <v>65.14513627298913</v>
      </c>
      <c r="R59" s="38">
        <f t="shared" si="4"/>
        <v>67.02819956616052</v>
      </c>
      <c r="S59" s="38">
        <f t="shared" si="5"/>
        <v>68.4784934731436</v>
      </c>
      <c r="T59" s="38">
        <f t="shared" si="6"/>
        <v>71.02022867194371</v>
      </c>
      <c r="U59" s="38">
        <f t="shared" si="7"/>
        <v>67.91801449605924</v>
      </c>
    </row>
    <row r="60" spans="3:5" ht="15.75">
      <c r="C60" s="32">
        <v>22.7</v>
      </c>
      <c r="D60" s="55">
        <v>428</v>
      </c>
      <c r="E60" s="56">
        <f t="shared" si="12"/>
        <v>53.03738317757009</v>
      </c>
    </row>
    <row r="61" spans="3:5" ht="15.75">
      <c r="C61" s="32">
        <v>26.7</v>
      </c>
      <c r="D61" s="55">
        <v>420</v>
      </c>
      <c r="E61" s="56">
        <f t="shared" si="12"/>
        <v>63.57142857142857</v>
      </c>
    </row>
    <row r="62" spans="3:23" ht="15.75">
      <c r="C62" s="32"/>
      <c r="D62" s="55"/>
      <c r="E62" s="57"/>
      <c r="G62" s="22"/>
      <c r="H62" s="22" t="s">
        <v>249</v>
      </c>
      <c r="I62" s="22" t="s">
        <v>250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 t="str">
        <f>H62</f>
        <v>TR-511 </v>
      </c>
    </row>
    <row r="63" spans="2:24" ht="15.75">
      <c r="B63" t="s">
        <v>251</v>
      </c>
      <c r="C63" s="32">
        <v>20.7</v>
      </c>
      <c r="D63" s="55">
        <v>181</v>
      </c>
      <c r="E63" s="56">
        <f t="shared" si="12"/>
        <v>114.3646408839779</v>
      </c>
      <c r="G63" t="s">
        <v>82</v>
      </c>
      <c r="H63" t="s">
        <v>111</v>
      </c>
      <c r="I63" t="s">
        <v>252</v>
      </c>
      <c r="J63" t="s">
        <v>253</v>
      </c>
      <c r="K63" t="s">
        <v>254</v>
      </c>
      <c r="L63" t="s">
        <v>255</v>
      </c>
      <c r="M63" t="s">
        <v>256</v>
      </c>
      <c r="N63" t="s">
        <v>257</v>
      </c>
      <c r="O63" t="s">
        <v>258</v>
      </c>
      <c r="P63" t="s">
        <v>259</v>
      </c>
      <c r="Q63" s="38">
        <f>1000*I63/J63</f>
        <v>88</v>
      </c>
      <c r="R63" s="38">
        <f>1000*K63/L63</f>
        <v>87.37373737373737</v>
      </c>
      <c r="S63" s="38">
        <f>1000*M63/N63</f>
        <v>91.37055837563452</v>
      </c>
      <c r="T63" s="38">
        <f>1000*O63/P63</f>
        <v>88.58695652173913</v>
      </c>
      <c r="U63" s="38">
        <f>AVERAGE(Q63:T63)</f>
        <v>88.83281306777775</v>
      </c>
      <c r="V63" s="38">
        <f>AVERAGE(U63,U67)</f>
        <v>92.95093057521478</v>
      </c>
      <c r="W63" s="38">
        <f>AVERAGE(U63:U69)</f>
        <v>62.47183614588513</v>
      </c>
      <c r="X63" t="s">
        <v>150</v>
      </c>
    </row>
    <row r="64" spans="2:21" ht="15.75">
      <c r="B64" t="s">
        <v>150</v>
      </c>
      <c r="C64" s="32">
        <v>20.1</v>
      </c>
      <c r="D64" s="55">
        <v>242</v>
      </c>
      <c r="E64" s="56">
        <f t="shared" si="12"/>
        <v>83.05785123966942</v>
      </c>
      <c r="G64" t="s">
        <v>150</v>
      </c>
      <c r="H64" t="s">
        <v>121</v>
      </c>
      <c r="I64" t="s">
        <v>260</v>
      </c>
      <c r="J64" t="s">
        <v>261</v>
      </c>
      <c r="K64" t="s">
        <v>256</v>
      </c>
      <c r="L64" t="s">
        <v>262</v>
      </c>
      <c r="M64" t="s">
        <v>260</v>
      </c>
      <c r="N64" t="s">
        <v>263</v>
      </c>
      <c r="O64" t="s">
        <v>264</v>
      </c>
      <c r="P64" t="s">
        <v>265</v>
      </c>
      <c r="Q64" s="38">
        <f>1000*I64/J64</f>
        <v>40.134529147982065</v>
      </c>
      <c r="R64" s="38">
        <f>1000*K64/L64</f>
        <v>40.816326530612244</v>
      </c>
      <c r="S64" s="38">
        <f>1000*M64/N64</f>
        <v>41.92037470725995</v>
      </c>
      <c r="T64" s="38">
        <f>1000*O64/P64</f>
        <v>56.39686684073107</v>
      </c>
      <c r="U64" s="38">
        <f>AVERAGE(Q64:T64)</f>
        <v>44.81702430664633</v>
      </c>
    </row>
    <row r="65" spans="3:24" ht="15.75">
      <c r="C65" s="32">
        <v>19.8</v>
      </c>
      <c r="D65" s="55">
        <v>329</v>
      </c>
      <c r="E65" s="56">
        <f t="shared" si="12"/>
        <v>60.182370820668694</v>
      </c>
      <c r="H65" t="s">
        <v>266</v>
      </c>
      <c r="I65" t="s">
        <v>267</v>
      </c>
      <c r="J65" t="s">
        <v>268</v>
      </c>
      <c r="K65" t="s">
        <v>269</v>
      </c>
      <c r="L65" t="s">
        <v>270</v>
      </c>
      <c r="M65" t="s">
        <v>254</v>
      </c>
      <c r="N65" t="s">
        <v>271</v>
      </c>
      <c r="O65" t="s">
        <v>272</v>
      </c>
      <c r="P65" t="s">
        <v>273</v>
      </c>
      <c r="Q65" s="38">
        <f>1000*I65/J65</f>
        <v>33.3984375</v>
      </c>
      <c r="R65" s="38">
        <f>1000*K65/L65</f>
        <v>33.13840155945419</v>
      </c>
      <c r="S65" s="38">
        <f>1000*M65/N65</f>
        <v>35.020242914979754</v>
      </c>
      <c r="T65" s="38">
        <f>1000*O65/P65</f>
        <v>84.6938775510204</v>
      </c>
      <c r="U65" s="38">
        <f>AVERAGE(Q65:T65)</f>
        <v>46.56273988136358</v>
      </c>
      <c r="V65" s="38">
        <f>AVERAGE(U71,U75)</f>
        <v>96.80447363982871</v>
      </c>
      <c r="W65" s="38">
        <f>AVERAGE(U71:U77)</f>
        <v>69.82481097224267</v>
      </c>
      <c r="X65" t="s">
        <v>120</v>
      </c>
    </row>
    <row r="66" spans="3:5" ht="15.75">
      <c r="C66" s="32"/>
      <c r="D66" s="55"/>
      <c r="E66" s="56"/>
    </row>
    <row r="67" spans="3:21" ht="15.75">
      <c r="C67" s="32">
        <v>23.4</v>
      </c>
      <c r="D67" s="55">
        <v>181</v>
      </c>
      <c r="E67" s="56">
        <f t="shared" si="12"/>
        <v>129.28176795580112</v>
      </c>
      <c r="G67" t="s">
        <v>274</v>
      </c>
      <c r="H67" t="s">
        <v>111</v>
      </c>
      <c r="I67" t="s">
        <v>275</v>
      </c>
      <c r="J67" t="s">
        <v>276</v>
      </c>
      <c r="K67" t="s">
        <v>277</v>
      </c>
      <c r="L67" t="s">
        <v>278</v>
      </c>
      <c r="M67" t="s">
        <v>279</v>
      </c>
      <c r="N67" t="s">
        <v>280</v>
      </c>
      <c r="O67" t="s">
        <v>281</v>
      </c>
      <c r="P67" t="s">
        <v>282</v>
      </c>
      <c r="Q67" s="38">
        <f>1000*I67/J67</f>
        <v>100</v>
      </c>
      <c r="R67" s="38">
        <f>1000*K67/L67</f>
        <v>102.18978102189782</v>
      </c>
      <c r="S67" s="38">
        <f>1000*M67/N67</f>
        <v>99.26470588235294</v>
      </c>
      <c r="T67" s="38">
        <f>1000*O67/P67</f>
        <v>86.82170542635659</v>
      </c>
      <c r="U67" s="38">
        <f>AVERAGE(Q67:T67)</f>
        <v>97.06904808265183</v>
      </c>
    </row>
    <row r="68" spans="3:21" ht="15.75">
      <c r="C68" s="32">
        <v>20.4</v>
      </c>
      <c r="D68" s="55">
        <v>244</v>
      </c>
      <c r="E68" s="56">
        <f t="shared" si="12"/>
        <v>83.60655737704919</v>
      </c>
      <c r="G68" t="s">
        <v>150</v>
      </c>
      <c r="H68" t="s">
        <v>121</v>
      </c>
      <c r="I68" t="s">
        <v>283</v>
      </c>
      <c r="J68" t="s">
        <v>284</v>
      </c>
      <c r="K68" t="s">
        <v>283</v>
      </c>
      <c r="L68" t="s">
        <v>285</v>
      </c>
      <c r="M68" t="s">
        <v>286</v>
      </c>
      <c r="N68" t="s">
        <v>285</v>
      </c>
      <c r="O68" t="s">
        <v>287</v>
      </c>
      <c r="P68" t="s">
        <v>288</v>
      </c>
      <c r="Q68" s="38">
        <f>1000*I68/J68</f>
        <v>54.23728813559322</v>
      </c>
      <c r="R68" s="38">
        <f>1000*K68/L68</f>
        <v>54.93562231759657</v>
      </c>
      <c r="S68" s="38">
        <f>1000*M68/N68</f>
        <v>52.36051502145923</v>
      </c>
      <c r="T68" s="38">
        <f>1000*O68/P68</f>
        <v>58.737864077669904</v>
      </c>
      <c r="U68" s="38">
        <f>AVERAGE(Q68:T68)</f>
        <v>55.06782238807973</v>
      </c>
    </row>
    <row r="69" spans="3:21" ht="15.75">
      <c r="C69" s="35">
        <v>20.4</v>
      </c>
      <c r="D69" s="22">
        <v>325</v>
      </c>
      <c r="E69" s="58">
        <f t="shared" si="12"/>
        <v>62.76923076923077</v>
      </c>
      <c r="H69" t="s">
        <v>266</v>
      </c>
      <c r="I69" t="s">
        <v>289</v>
      </c>
      <c r="J69" t="s">
        <v>290</v>
      </c>
      <c r="K69" t="s">
        <v>291</v>
      </c>
      <c r="L69" t="s">
        <v>292</v>
      </c>
      <c r="M69" t="s">
        <v>283</v>
      </c>
      <c r="N69" t="s">
        <v>293</v>
      </c>
      <c r="O69" t="s">
        <v>275</v>
      </c>
      <c r="P69" t="s">
        <v>294</v>
      </c>
      <c r="Q69" s="38">
        <f>1000*I69/J69</f>
        <v>38.837920489296636</v>
      </c>
      <c r="R69" s="38">
        <f>1000*K69/L69</f>
        <v>41.640378548895896</v>
      </c>
      <c r="S69" s="38">
        <f>1000*M69/N69</f>
        <v>39.628482972136226</v>
      </c>
      <c r="T69" s="38">
        <f>1000*O69/P69</f>
        <v>49.81949458483754</v>
      </c>
      <c r="U69" s="38">
        <f>AVERAGE(Q69:T69)</f>
        <v>42.48156914879157</v>
      </c>
    </row>
    <row r="71" spans="7:21" ht="15.75">
      <c r="G71" t="s">
        <v>295</v>
      </c>
      <c r="H71" t="s">
        <v>296</v>
      </c>
      <c r="I71" t="s">
        <v>297</v>
      </c>
      <c r="J71" t="s">
        <v>298</v>
      </c>
      <c r="K71" t="s">
        <v>299</v>
      </c>
      <c r="L71" t="s">
        <v>300</v>
      </c>
      <c r="M71" t="s">
        <v>301</v>
      </c>
      <c r="N71" t="s">
        <v>302</v>
      </c>
      <c r="O71" t="s">
        <v>303</v>
      </c>
      <c r="P71" t="s">
        <v>304</v>
      </c>
      <c r="Q71" s="38">
        <f>1000*I71/J71</f>
        <v>107.74410774410775</v>
      </c>
      <c r="R71" s="38">
        <f>1000*K71/L71</f>
        <v>100</v>
      </c>
      <c r="S71" s="38">
        <f>1000*M71/N71</f>
        <v>78.01418439716312</v>
      </c>
      <c r="T71" s="38">
        <f>1000*O71/P71</f>
        <v>64.51612903225806</v>
      </c>
      <c r="U71" s="38">
        <f>AVERAGE(Q71:T71)</f>
        <v>87.56860529338223</v>
      </c>
    </row>
    <row r="72" spans="7:21" ht="15.75">
      <c r="G72" t="s">
        <v>26</v>
      </c>
      <c r="H72" t="s">
        <v>121</v>
      </c>
      <c r="I72" t="s">
        <v>305</v>
      </c>
      <c r="J72" t="s">
        <v>306</v>
      </c>
      <c r="K72" t="s">
        <v>297</v>
      </c>
      <c r="L72" t="s">
        <v>307</v>
      </c>
      <c r="M72" t="s">
        <v>308</v>
      </c>
      <c r="N72" t="s">
        <v>309</v>
      </c>
      <c r="O72" t="s">
        <v>310</v>
      </c>
      <c r="P72" t="s">
        <v>311</v>
      </c>
      <c r="Q72" s="38">
        <f>1000*I72/J72</f>
        <v>71.86858316221766</v>
      </c>
      <c r="R72" s="38">
        <f>1000*K72/L72</f>
        <v>65.84362139917695</v>
      </c>
      <c r="S72" s="38">
        <f>1000*M72/N72</f>
        <v>59.07172995780591</v>
      </c>
      <c r="T72" s="38">
        <f>1000*O72/P72</f>
        <v>57.279236276849645</v>
      </c>
      <c r="U72" s="38">
        <f>AVERAGE(Q72:T72)</f>
        <v>63.515792699012536</v>
      </c>
    </row>
    <row r="73" spans="8:21" ht="15.75">
      <c r="H73" t="s">
        <v>266</v>
      </c>
      <c r="I73" t="s">
        <v>312</v>
      </c>
      <c r="J73" t="s">
        <v>313</v>
      </c>
      <c r="K73" t="s">
        <v>314</v>
      </c>
      <c r="L73" t="s">
        <v>313</v>
      </c>
      <c r="M73" t="s">
        <v>299</v>
      </c>
      <c r="N73" t="s">
        <v>315</v>
      </c>
      <c r="O73" t="s">
        <v>316</v>
      </c>
      <c r="P73" t="s">
        <v>317</v>
      </c>
      <c r="Q73" s="38">
        <f>1000*I73/J73</f>
        <v>82.06106870229007</v>
      </c>
      <c r="R73" s="38">
        <f>1000*K73/L73</f>
        <v>70.61068702290076</v>
      </c>
      <c r="S73" s="38">
        <f>1000*M73/N73</f>
        <v>58.8235294117647</v>
      </c>
      <c r="T73" s="38">
        <f>1000*O73/P73</f>
        <v>60.94808126410835</v>
      </c>
      <c r="U73" s="38">
        <f>AVERAGE(Q73:T73)</f>
        <v>68.11084160026597</v>
      </c>
    </row>
    <row r="75" spans="7:21" ht="15.75">
      <c r="G75" t="s">
        <v>274</v>
      </c>
      <c r="H75" t="s">
        <v>111</v>
      </c>
      <c r="I75" t="s">
        <v>308</v>
      </c>
      <c r="J75" t="s">
        <v>318</v>
      </c>
      <c r="K75" t="s">
        <v>316</v>
      </c>
      <c r="L75" t="s">
        <v>319</v>
      </c>
      <c r="M75" t="s">
        <v>320</v>
      </c>
      <c r="N75" t="s">
        <v>321</v>
      </c>
      <c r="O75" t="s">
        <v>303</v>
      </c>
      <c r="P75" t="s">
        <v>322</v>
      </c>
      <c r="Q75" s="38">
        <f>1000*I75/J75</f>
        <v>127.85388127853882</v>
      </c>
      <c r="R75" s="38">
        <f>1000*K75/L75</f>
        <v>121.62162162162163</v>
      </c>
      <c r="S75" s="38">
        <f>1000*M75/N75</f>
        <v>98.13084112149534</v>
      </c>
      <c r="T75" s="38">
        <f>1000*O75/P75</f>
        <v>76.55502392344498</v>
      </c>
      <c r="U75" s="38">
        <f>AVERAGE(Q75:T75)</f>
        <v>106.0403419862752</v>
      </c>
    </row>
    <row r="76" spans="7:21" ht="15.75">
      <c r="G76" t="s">
        <v>26</v>
      </c>
      <c r="H76" t="s">
        <v>121</v>
      </c>
      <c r="I76" t="s">
        <v>323</v>
      </c>
      <c r="J76" t="s">
        <v>306</v>
      </c>
      <c r="K76" t="s">
        <v>323</v>
      </c>
      <c r="L76" t="s">
        <v>324</v>
      </c>
      <c r="M76" t="s">
        <v>325</v>
      </c>
      <c r="N76" t="s">
        <v>326</v>
      </c>
      <c r="O76" t="s">
        <v>325</v>
      </c>
      <c r="P76" t="s">
        <v>327</v>
      </c>
      <c r="Q76" s="38">
        <f>1000*I76/J76</f>
        <v>51.3347022587269</v>
      </c>
      <c r="R76" s="38">
        <f>1000*K76/L76</f>
        <v>51.54639175257732</v>
      </c>
      <c r="S76" s="38">
        <f>1000*M76/N76</f>
        <v>48.832271762208066</v>
      </c>
      <c r="T76" s="38">
        <f>1000*O76/P76</f>
        <v>48.93617021276596</v>
      </c>
      <c r="U76" s="38">
        <f>AVERAGE(Q76:T76)</f>
        <v>50.16238399656956</v>
      </c>
    </row>
    <row r="77" spans="8:21" ht="15.75">
      <c r="H77" t="s">
        <v>266</v>
      </c>
      <c r="I77" t="s">
        <v>328</v>
      </c>
      <c r="J77" t="s">
        <v>329</v>
      </c>
      <c r="K77" t="s">
        <v>323</v>
      </c>
      <c r="L77" t="s">
        <v>330</v>
      </c>
      <c r="M77" t="s">
        <v>325</v>
      </c>
      <c r="N77" t="s">
        <v>331</v>
      </c>
      <c r="O77" t="s">
        <v>301</v>
      </c>
      <c r="P77" t="s">
        <v>332</v>
      </c>
      <c r="Q77" s="38">
        <f>1000*I77/J77</f>
        <v>49.235993208828525</v>
      </c>
      <c r="R77" s="38">
        <f>1000*K77/L77</f>
        <v>43.85964912280702</v>
      </c>
      <c r="S77" s="38">
        <f>1000*M77/N77</f>
        <v>40.139616055846425</v>
      </c>
      <c r="T77" s="38">
        <f>1000*O77/P77</f>
        <v>40.968342644320295</v>
      </c>
      <c r="U77" s="38">
        <f>AVERAGE(Q77:T77)</f>
        <v>43.550900257950566</v>
      </c>
    </row>
    <row r="79" spans="7:23" ht="15.75">
      <c r="G79" s="22"/>
      <c r="H79" s="22" t="s">
        <v>88</v>
      </c>
      <c r="I79" s="22" t="s">
        <v>333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 t="str">
        <f>H79</f>
        <v>TR-517</v>
      </c>
    </row>
    <row r="80" spans="7:24" ht="15.75">
      <c r="G80" t="s">
        <v>82</v>
      </c>
      <c r="H80" t="s">
        <v>334</v>
      </c>
      <c r="I80" t="s">
        <v>335</v>
      </c>
      <c r="J80" t="s">
        <v>336</v>
      </c>
      <c r="K80" t="s">
        <v>337</v>
      </c>
      <c r="L80" t="s">
        <v>338</v>
      </c>
      <c r="M80" t="s">
        <v>339</v>
      </c>
      <c r="N80" t="s">
        <v>340</v>
      </c>
      <c r="O80" t="s">
        <v>341</v>
      </c>
      <c r="P80" t="s">
        <v>342</v>
      </c>
      <c r="Q80" s="38">
        <f>1000*I80/J80</f>
        <v>63.38582677165355</v>
      </c>
      <c r="R80" s="38">
        <f>1000*K80/L80</f>
        <v>64.31372549019608</v>
      </c>
      <c r="S80" s="38">
        <f>1000*M80/N80</f>
        <v>64.59143968871595</v>
      </c>
      <c r="T80" s="38">
        <f>1000*O80/P80</f>
        <v>66.02316602316603</v>
      </c>
      <c r="U80" s="38">
        <f>AVERAGE(Q80:T80)</f>
        <v>64.5785394934329</v>
      </c>
      <c r="V80" s="38">
        <f>AVERAGE(U80,U84)</f>
        <v>69.58093641338311</v>
      </c>
      <c r="W80" s="38">
        <f>AVERAGE(U80:U86)</f>
        <v>48.19709368826147</v>
      </c>
      <c r="X80" t="s">
        <v>150</v>
      </c>
    </row>
    <row r="81" spans="7:21" ht="15.75">
      <c r="G81" t="s">
        <v>150</v>
      </c>
      <c r="H81" t="s">
        <v>343</v>
      </c>
      <c r="I81" t="s">
        <v>344</v>
      </c>
      <c r="J81" t="s">
        <v>345</v>
      </c>
      <c r="K81" t="s">
        <v>346</v>
      </c>
      <c r="L81" t="s">
        <v>347</v>
      </c>
      <c r="M81" t="s">
        <v>348</v>
      </c>
      <c r="N81" t="s">
        <v>349</v>
      </c>
      <c r="O81" t="s">
        <v>350</v>
      </c>
      <c r="P81" t="s">
        <v>351</v>
      </c>
      <c r="Q81" s="38">
        <f>1000*I81/J81</f>
        <v>33.25581395348837</v>
      </c>
      <c r="R81" s="38">
        <f>1000*K81/L81</f>
        <v>33.48729792147806</v>
      </c>
      <c r="S81" s="38">
        <f>1000*M81/N81</f>
        <v>33.333333333333336</v>
      </c>
      <c r="T81" s="38">
        <f>1000*O81/P81</f>
        <v>34.16856492027335</v>
      </c>
      <c r="U81" s="38">
        <f>AVERAGE(Q81:T81)</f>
        <v>33.56125253214328</v>
      </c>
    </row>
    <row r="82" spans="8:24" ht="15.75">
      <c r="H82" t="s">
        <v>352</v>
      </c>
      <c r="I82" t="s">
        <v>353</v>
      </c>
      <c r="J82" t="s">
        <v>354</v>
      </c>
      <c r="K82" t="s">
        <v>355</v>
      </c>
      <c r="L82" t="s">
        <v>356</v>
      </c>
      <c r="M82" t="s">
        <v>357</v>
      </c>
      <c r="N82" t="s">
        <v>358</v>
      </c>
      <c r="O82" t="s">
        <v>359</v>
      </c>
      <c r="P82" t="s">
        <v>360</v>
      </c>
      <c r="Q82" s="38">
        <f>1000*I82/J82</f>
        <v>29.681274900398407</v>
      </c>
      <c r="R82" s="38">
        <f>1000*K82/L82</f>
        <v>30.6</v>
      </c>
      <c r="S82" s="38">
        <f>1000*M82/N82</f>
        <v>30.434782608695652</v>
      </c>
      <c r="T82" s="38">
        <f>1000*O82/P82</f>
        <v>31.809145129224653</v>
      </c>
      <c r="U82" s="38">
        <f>AVERAGE(Q82:T82)</f>
        <v>30.631300659579676</v>
      </c>
      <c r="V82" s="38">
        <f>AVERAGE(U88,U92)</f>
        <v>113.74398303733128</v>
      </c>
      <c r="W82" s="38">
        <f>AVERAGE(U88:U94)</f>
        <v>79.04966400420258</v>
      </c>
      <c r="X82" t="s">
        <v>120</v>
      </c>
    </row>
    <row r="84" spans="7:21" ht="15.75">
      <c r="G84" t="s">
        <v>274</v>
      </c>
      <c r="H84" t="s">
        <v>334</v>
      </c>
      <c r="I84" t="s">
        <v>361</v>
      </c>
      <c r="J84" t="s">
        <v>362</v>
      </c>
      <c r="K84" t="s">
        <v>363</v>
      </c>
      <c r="L84" t="s">
        <v>364</v>
      </c>
      <c r="M84" t="s">
        <v>365</v>
      </c>
      <c r="N84" t="s">
        <v>364</v>
      </c>
      <c r="O84" t="s">
        <v>366</v>
      </c>
      <c r="P84" t="s">
        <v>367</v>
      </c>
      <c r="Q84" s="38">
        <f>1000*I84/J84</f>
        <v>73.33333333333333</v>
      </c>
      <c r="R84" s="38">
        <f>1000*K84/L84</f>
        <v>75.3012048192771</v>
      </c>
      <c r="S84" s="38">
        <f>1000*M84/N84</f>
        <v>74.6987951807229</v>
      </c>
      <c r="T84" s="38">
        <f>1000*O84/P84</f>
        <v>75</v>
      </c>
      <c r="U84" s="38">
        <f>AVERAGE(Q84:T84)</f>
        <v>74.58333333333333</v>
      </c>
    </row>
    <row r="85" spans="7:21" ht="15.75">
      <c r="G85" t="s">
        <v>150</v>
      </c>
      <c r="H85" t="s">
        <v>343</v>
      </c>
      <c r="I85" t="s">
        <v>368</v>
      </c>
      <c r="J85" t="s">
        <v>369</v>
      </c>
      <c r="K85" t="s">
        <v>370</v>
      </c>
      <c r="L85" t="s">
        <v>371</v>
      </c>
      <c r="M85" t="s">
        <v>372</v>
      </c>
      <c r="N85" t="s">
        <v>373</v>
      </c>
      <c r="O85" t="s">
        <v>374</v>
      </c>
      <c r="P85" t="s">
        <v>375</v>
      </c>
      <c r="Q85" s="38">
        <f>1000*I85/J85</f>
        <v>45.1063829787234</v>
      </c>
      <c r="R85" s="38">
        <f>1000*K85/L85</f>
        <v>46.44351464435147</v>
      </c>
      <c r="S85" s="38">
        <f>1000*M85/N85</f>
        <v>44.95798319327731</v>
      </c>
      <c r="T85" s="38">
        <f>1000*O85/P85</f>
        <v>46.58119658119658</v>
      </c>
      <c r="U85" s="38">
        <f>AVERAGE(Q85:T85)</f>
        <v>45.77226934938719</v>
      </c>
    </row>
    <row r="86" spans="8:21" ht="15.75">
      <c r="H86" t="s">
        <v>352</v>
      </c>
      <c r="I86" t="s">
        <v>376</v>
      </c>
      <c r="J86" t="s">
        <v>377</v>
      </c>
      <c r="K86" t="s">
        <v>378</v>
      </c>
      <c r="L86" t="s">
        <v>379</v>
      </c>
      <c r="M86" t="s">
        <v>380</v>
      </c>
      <c r="N86" t="s">
        <v>381</v>
      </c>
      <c r="O86" t="s">
        <v>382</v>
      </c>
      <c r="P86" t="s">
        <v>383</v>
      </c>
      <c r="Q86" s="38">
        <f>1000*I86/J86</f>
        <v>39.49843260188088</v>
      </c>
      <c r="R86" s="38">
        <f>1000*K86/L86</f>
        <v>39.19753086419753</v>
      </c>
      <c r="S86" s="38">
        <f>1000*M86/N86</f>
        <v>39.75535168195719</v>
      </c>
      <c r="T86" s="38">
        <f>1000*O86/P86</f>
        <v>41.77215189873418</v>
      </c>
      <c r="U86" s="38">
        <f>AVERAGE(Q86:T86)</f>
        <v>40.05586676169244</v>
      </c>
    </row>
    <row r="88" spans="7:21" ht="15.75">
      <c r="G88" t="s">
        <v>295</v>
      </c>
      <c r="H88" t="s">
        <v>334</v>
      </c>
      <c r="I88" t="s">
        <v>384</v>
      </c>
      <c r="J88" t="s">
        <v>385</v>
      </c>
      <c r="K88" t="s">
        <v>386</v>
      </c>
      <c r="L88" t="s">
        <v>387</v>
      </c>
      <c r="M88" t="s">
        <v>384</v>
      </c>
      <c r="N88" t="s">
        <v>388</v>
      </c>
      <c r="O88" t="s">
        <v>389</v>
      </c>
      <c r="P88" t="s">
        <v>390</v>
      </c>
      <c r="Q88" s="38">
        <f>1000*I88/J88</f>
        <v>101.19047619047619</v>
      </c>
      <c r="R88" s="38">
        <f>1000*K88/L88</f>
        <v>108.76132930513594</v>
      </c>
      <c r="S88" s="38">
        <f>1000*M88/N88</f>
        <v>102.10210210210211</v>
      </c>
      <c r="T88" s="38">
        <f>1000*O88/P88</f>
        <v>104.4776119402985</v>
      </c>
      <c r="U88" s="38">
        <f>AVERAGE(Q88:T88)</f>
        <v>104.1328798845032</v>
      </c>
    </row>
    <row r="89" spans="7:21" ht="15.75">
      <c r="G89" t="s">
        <v>26</v>
      </c>
      <c r="H89" t="s">
        <v>343</v>
      </c>
      <c r="I89" t="s">
        <v>389</v>
      </c>
      <c r="J89" t="s">
        <v>391</v>
      </c>
      <c r="K89" t="s">
        <v>384</v>
      </c>
      <c r="L89" t="s">
        <v>392</v>
      </c>
      <c r="M89" t="s">
        <v>384</v>
      </c>
      <c r="N89" t="s">
        <v>393</v>
      </c>
      <c r="O89" t="s">
        <v>384</v>
      </c>
      <c r="P89" t="s">
        <v>391</v>
      </c>
      <c r="Q89" s="38">
        <f>1000*I89/J89</f>
        <v>69.7211155378486</v>
      </c>
      <c r="R89" s="38">
        <f>1000*K89/L89</f>
        <v>68.82591093117409</v>
      </c>
      <c r="S89" s="38">
        <f>1000*M89/N89</f>
        <v>68.41046277665995</v>
      </c>
      <c r="T89" s="38">
        <f>1000*O89/P89</f>
        <v>67.72908366533864</v>
      </c>
      <c r="U89" s="38">
        <f>AVERAGE(Q89:T89)</f>
        <v>68.67164322775533</v>
      </c>
    </row>
    <row r="90" spans="8:21" ht="15.75">
      <c r="H90" t="s">
        <v>352</v>
      </c>
      <c r="I90" t="s">
        <v>394</v>
      </c>
      <c r="J90" t="s">
        <v>395</v>
      </c>
      <c r="K90" t="s">
        <v>396</v>
      </c>
      <c r="L90" t="s">
        <v>397</v>
      </c>
      <c r="M90" t="s">
        <v>396</v>
      </c>
      <c r="N90" t="s">
        <v>398</v>
      </c>
      <c r="O90" t="s">
        <v>399</v>
      </c>
      <c r="P90" t="s">
        <v>400</v>
      </c>
      <c r="Q90" s="38">
        <f>1000*I90/J90</f>
        <v>81.08108108108108</v>
      </c>
      <c r="R90" s="38">
        <f>1000*K90/L90</f>
        <v>80.078125</v>
      </c>
      <c r="S90" s="38">
        <f>1000*M90/N90</f>
        <v>79.6116504854369</v>
      </c>
      <c r="T90" s="38">
        <f>1000*O90/P90</f>
        <v>77.36943907156673</v>
      </c>
      <c r="U90" s="38">
        <f>AVERAGE(Q90:T90)</f>
        <v>79.53507390952117</v>
      </c>
    </row>
    <row r="92" spans="7:21" ht="15.75">
      <c r="G92" t="s">
        <v>274</v>
      </c>
      <c r="H92" t="s">
        <v>334</v>
      </c>
      <c r="I92" t="s">
        <v>401</v>
      </c>
      <c r="J92" t="s">
        <v>402</v>
      </c>
      <c r="K92" t="s">
        <v>401</v>
      </c>
      <c r="L92" t="s">
        <v>403</v>
      </c>
      <c r="M92" t="s">
        <v>401</v>
      </c>
      <c r="N92" t="s">
        <v>404</v>
      </c>
      <c r="O92" t="s">
        <v>386</v>
      </c>
      <c r="P92" t="s">
        <v>405</v>
      </c>
      <c r="Q92" s="38">
        <f>1000*I92/J92</f>
        <v>117.64705882352942</v>
      </c>
      <c r="R92" s="38">
        <f>1000*K92/L92</f>
        <v>119.85018726591761</v>
      </c>
      <c r="S92" s="38">
        <f>1000*M92/N92</f>
        <v>118.51851851851852</v>
      </c>
      <c r="T92" s="38">
        <f>1000*O92/P92</f>
        <v>137.40458015267177</v>
      </c>
      <c r="U92" s="38">
        <f>AVERAGE(Q92:T92)</f>
        <v>123.35508619015934</v>
      </c>
    </row>
    <row r="93" spans="7:21" ht="15.75">
      <c r="G93" t="s">
        <v>26</v>
      </c>
      <c r="H93" t="s">
        <v>343</v>
      </c>
      <c r="I93" t="s">
        <v>406</v>
      </c>
      <c r="J93" t="s">
        <v>407</v>
      </c>
      <c r="K93" t="s">
        <v>406</v>
      </c>
      <c r="L93" t="s">
        <v>400</v>
      </c>
      <c r="M93" t="s">
        <v>406</v>
      </c>
      <c r="N93" t="s">
        <v>408</v>
      </c>
      <c r="O93" t="s">
        <v>409</v>
      </c>
      <c r="P93" t="s">
        <v>410</v>
      </c>
      <c r="Q93" s="38">
        <f>1000*I93/J93</f>
        <v>48.07692307692308</v>
      </c>
      <c r="R93" s="38">
        <f>1000*K93/L93</f>
        <v>48.355899419729205</v>
      </c>
      <c r="S93" s="38">
        <f>1000*M93/N93</f>
        <v>48.44961240310077</v>
      </c>
      <c r="T93" s="38">
        <f>1000*O93/P93</f>
        <v>51.28205128205128</v>
      </c>
      <c r="U93" s="38">
        <f>AVERAGE(Q93:T93)</f>
        <v>49.04112154545108</v>
      </c>
    </row>
    <row r="94" spans="8:21" ht="15.75">
      <c r="H94" t="s">
        <v>352</v>
      </c>
      <c r="I94" t="s">
        <v>411</v>
      </c>
      <c r="J94" t="s">
        <v>412</v>
      </c>
      <c r="K94" t="s">
        <v>413</v>
      </c>
      <c r="L94" t="s">
        <v>414</v>
      </c>
      <c r="M94" t="s">
        <v>415</v>
      </c>
      <c r="N94" t="s">
        <v>416</v>
      </c>
      <c r="O94" t="s">
        <v>417</v>
      </c>
      <c r="P94" t="s">
        <v>418</v>
      </c>
      <c r="Q94" s="38">
        <f>1000*I94/J94</f>
        <v>45.38341158059468</v>
      </c>
      <c r="R94" s="38">
        <f>1000*K94/L94</f>
        <v>50.81967213114754</v>
      </c>
      <c r="S94" s="38">
        <f>1000*M94/N94</f>
        <v>53.65853658536585</v>
      </c>
      <c r="T94" s="38">
        <f>1000*O94/P94</f>
        <v>48.38709677419355</v>
      </c>
      <c r="U94" s="38">
        <f>AVERAGE(Q94:T94)</f>
        <v>49.5621792678254</v>
      </c>
    </row>
    <row r="96" spans="7:23" ht="15.75">
      <c r="G96" s="22"/>
      <c r="H96" s="22" t="s">
        <v>89</v>
      </c>
      <c r="I96" s="22" t="s">
        <v>419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 t="str">
        <f>H96</f>
        <v>TR-532</v>
      </c>
    </row>
    <row r="97" spans="7:24" ht="15.75">
      <c r="G97" t="s">
        <v>82</v>
      </c>
      <c r="H97" t="s">
        <v>334</v>
      </c>
      <c r="I97" t="s">
        <v>341</v>
      </c>
      <c r="J97" t="s">
        <v>420</v>
      </c>
      <c r="K97" t="s">
        <v>421</v>
      </c>
      <c r="L97" t="s">
        <v>422</v>
      </c>
      <c r="M97" t="s">
        <v>357</v>
      </c>
      <c r="N97" t="s">
        <v>423</v>
      </c>
      <c r="O97" t="s">
        <v>350</v>
      </c>
      <c r="P97" t="s">
        <v>342</v>
      </c>
      <c r="Q97" s="38">
        <f>1000*I97/J97</f>
        <v>63.80597014925373</v>
      </c>
      <c r="R97" s="38">
        <f>1000*K97/L97</f>
        <v>59.770114942528735</v>
      </c>
      <c r="S97" s="38">
        <f>1000*M97/N97</f>
        <v>58.778625954198475</v>
      </c>
      <c r="T97" s="38">
        <f>1000*O97/P97</f>
        <v>57.915057915057915</v>
      </c>
      <c r="U97" s="38">
        <f>AVERAGE(Q97:T97)</f>
        <v>60.067442240259716</v>
      </c>
      <c r="V97" s="38">
        <f>U97</f>
        <v>60.067442240259716</v>
      </c>
      <c r="W97" s="38">
        <f>AVERAGE(U97:U99)</f>
        <v>41.26479925041418</v>
      </c>
      <c r="X97" t="s">
        <v>150</v>
      </c>
    </row>
    <row r="98" spans="7:21" ht="15.75">
      <c r="G98" t="s">
        <v>150</v>
      </c>
      <c r="H98" t="s">
        <v>343</v>
      </c>
      <c r="I98" t="s">
        <v>357</v>
      </c>
      <c r="J98" t="s">
        <v>424</v>
      </c>
      <c r="K98" t="s">
        <v>348</v>
      </c>
      <c r="L98" t="s">
        <v>425</v>
      </c>
      <c r="M98" t="s">
        <v>344</v>
      </c>
      <c r="N98" t="s">
        <v>426</v>
      </c>
      <c r="O98" t="s">
        <v>427</v>
      </c>
      <c r="P98" t="s">
        <v>428</v>
      </c>
      <c r="Q98" s="38">
        <f>1000*I98/J98</f>
        <v>34.92063492063492</v>
      </c>
      <c r="R98" s="38">
        <f>1000*K98/L98</f>
        <v>34.11214953271028</v>
      </c>
      <c r="S98" s="38">
        <f>1000*M98/N98</f>
        <v>33.48946135831382</v>
      </c>
      <c r="T98" s="38">
        <f>1000*O98/P98</f>
        <v>33.096926713947994</v>
      </c>
      <c r="U98" s="38">
        <f>AVERAGE(Q98:T98)</f>
        <v>33.90479313140175</v>
      </c>
    </row>
    <row r="99" spans="8:24" ht="15.75">
      <c r="H99" t="s">
        <v>352</v>
      </c>
      <c r="I99" t="s">
        <v>421</v>
      </c>
      <c r="J99" t="s">
        <v>429</v>
      </c>
      <c r="K99" t="s">
        <v>348</v>
      </c>
      <c r="L99" t="s">
        <v>430</v>
      </c>
      <c r="M99" t="s">
        <v>344</v>
      </c>
      <c r="N99" t="s">
        <v>431</v>
      </c>
      <c r="O99" t="s">
        <v>346</v>
      </c>
      <c r="P99" t="s">
        <v>432</v>
      </c>
      <c r="Q99" s="38">
        <f>1000*I99/J99</f>
        <v>30.76923076923077</v>
      </c>
      <c r="R99" s="38">
        <f>1000*K99/L99</f>
        <v>29.554655870445345</v>
      </c>
      <c r="S99" s="38">
        <f>1000*M99/N99</f>
        <v>29.006085192697768</v>
      </c>
      <c r="T99" s="38">
        <f>1000*O99/P99</f>
        <v>29.958677685950413</v>
      </c>
      <c r="U99" s="38">
        <f>AVERAGE(Q99:T99)</f>
        <v>29.822162379581073</v>
      </c>
      <c r="V99" s="38">
        <f>U101</f>
        <v>99.55156142561233</v>
      </c>
      <c r="W99" s="38">
        <f>AVERAGE(U101:U103)</f>
        <v>63.470487562165765</v>
      </c>
      <c r="X99" t="s">
        <v>120</v>
      </c>
    </row>
    <row r="101" spans="7:21" ht="15.75">
      <c r="G101" t="s">
        <v>274</v>
      </c>
      <c r="H101" t="s">
        <v>334</v>
      </c>
      <c r="I101" t="s">
        <v>413</v>
      </c>
      <c r="J101" t="s">
        <v>403</v>
      </c>
      <c r="K101" t="s">
        <v>433</v>
      </c>
      <c r="L101" t="s">
        <v>434</v>
      </c>
      <c r="M101" t="s">
        <v>435</v>
      </c>
      <c r="N101" t="s">
        <v>436</v>
      </c>
      <c r="O101" t="s">
        <v>437</v>
      </c>
      <c r="P101" t="s">
        <v>438</v>
      </c>
      <c r="Q101" s="38">
        <f>1000*I101/J101</f>
        <v>116.10486891385769</v>
      </c>
      <c r="R101" s="38">
        <f>1000*K101/L101</f>
        <v>99.58506224066389</v>
      </c>
      <c r="S101" s="38">
        <f>1000*M101/N101</f>
        <v>94.65020576131687</v>
      </c>
      <c r="T101" s="38">
        <f>1000*O101/P101</f>
        <v>87.86610878661088</v>
      </c>
      <c r="U101" s="38">
        <f>AVERAGE(Q101:T101)</f>
        <v>99.55156142561233</v>
      </c>
    </row>
    <row r="102" spans="7:21" ht="15.75">
      <c r="G102" t="s">
        <v>26</v>
      </c>
      <c r="H102" t="s">
        <v>343</v>
      </c>
      <c r="I102" t="s">
        <v>406</v>
      </c>
      <c r="J102" t="s">
        <v>439</v>
      </c>
      <c r="K102" t="s">
        <v>435</v>
      </c>
      <c r="L102" t="s">
        <v>440</v>
      </c>
      <c r="M102" t="s">
        <v>441</v>
      </c>
      <c r="N102" t="s">
        <v>442</v>
      </c>
      <c r="O102" t="s">
        <v>435</v>
      </c>
      <c r="P102" t="s">
        <v>443</v>
      </c>
      <c r="Q102" s="38">
        <f>1000*I102/J102</f>
        <v>47.89272030651341</v>
      </c>
      <c r="R102" s="38">
        <f>1000*K102/L102</f>
        <v>50.54945054945055</v>
      </c>
      <c r="S102" s="38">
        <f>1000*M102/N102</f>
        <v>46.908315565031984</v>
      </c>
      <c r="T102" s="38">
        <f>1000*O102/P102</f>
        <v>50.66079295154185</v>
      </c>
      <c r="U102" s="38">
        <f>AVERAGE(Q102:T102)</f>
        <v>49.002819843134446</v>
      </c>
    </row>
    <row r="103" spans="8:21" ht="15.75">
      <c r="H103" t="s">
        <v>352</v>
      </c>
      <c r="I103" t="s">
        <v>413</v>
      </c>
      <c r="J103" t="s">
        <v>412</v>
      </c>
      <c r="K103" t="s">
        <v>433</v>
      </c>
      <c r="L103" t="s">
        <v>444</v>
      </c>
      <c r="M103" t="s">
        <v>435</v>
      </c>
      <c r="N103" t="s">
        <v>445</v>
      </c>
      <c r="O103" t="s">
        <v>435</v>
      </c>
      <c r="P103" t="s">
        <v>444</v>
      </c>
      <c r="Q103" s="38">
        <f>1000*I103/J103</f>
        <v>48.5133020344288</v>
      </c>
      <c r="R103" s="38">
        <f>1000*K103/L103</f>
        <v>40.816326530612244</v>
      </c>
      <c r="S103" s="38">
        <f>1000*M103/N103</f>
        <v>38.983050847457626</v>
      </c>
      <c r="T103" s="38">
        <f>1000*O103/P103</f>
        <v>39.1156462585034</v>
      </c>
      <c r="U103" s="38">
        <f>AVERAGE(Q103:T103)</f>
        <v>41.857081417750514</v>
      </c>
    </row>
    <row r="105" ht="15.75">
      <c r="H105" t="s">
        <v>90</v>
      </c>
    </row>
  </sheetData>
  <sheetProtection/>
  <mergeCells count="1">
    <mergeCell ref="C31:D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WMVOGEL</dc:creator>
  <cp:keywords/>
  <dc:description/>
  <cp:lastModifiedBy>wmvogel</cp:lastModifiedBy>
  <cp:lastPrinted>2001-04-04T16:21:46Z</cp:lastPrinted>
  <dcterms:created xsi:type="dcterms:W3CDTF">2000-08-31T16:00:24Z</dcterms:created>
  <dcterms:modified xsi:type="dcterms:W3CDTF">2007-12-04T15:39:47Z</dcterms:modified>
  <cp:category/>
  <cp:version/>
  <cp:contentType/>
  <cp:contentStatus/>
</cp:coreProperties>
</file>